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ortcut-targets-by-id\0By2Fs2Dk-bu8dmlhN2wwWlRYbHc\PARK AVENUE VOLKSWAGEN\5 Réalisé\2022\Réalisés roulés 2022\"/>
    </mc:Choice>
  </mc:AlternateContent>
  <bookViews>
    <workbookView xWindow="28680" yWindow="-120" windowWidth="29040" windowHeight="15840" tabRatio="947" firstSheet="3" activeTab="8"/>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BV_Data_An_Cour!$B$1:$Y$476</definedName>
    <definedName name="_xlnm._FilterDatabase" localSheetId="16" hidden="1">BV_Data_An_Prec!$A$1:$X$1055</definedName>
    <definedName name="_xlnm._FilterDatabase" localSheetId="15" hidden="1">Data_Validation!$A$1:$G$905</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52511"/>
</workbook>
</file>

<file path=xl/calcChain.xml><?xml version="1.0" encoding="utf-8"?>
<calcChain xmlns="http://schemas.openxmlformats.org/spreadsheetml/2006/main">
  <c r="M187" i="3" l="1"/>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7" i="5"/>
  <c r="W467" i="5" s="1"/>
  <c r="N467" i="5"/>
  <c r="R467" i="5"/>
  <c r="O467" i="5" s="1"/>
  <c r="S467" i="5"/>
  <c r="T467" i="5"/>
  <c r="M468" i="5"/>
  <c r="V468" i="5" s="1"/>
  <c r="N468" i="5"/>
  <c r="R468" i="5"/>
  <c r="O468" i="5" s="1"/>
  <c r="S468" i="5"/>
  <c r="T468" i="5"/>
  <c r="M469" i="5"/>
  <c r="V469" i="5" s="1"/>
  <c r="N469" i="5"/>
  <c r="R469" i="5"/>
  <c r="O469" i="5" s="1"/>
  <c r="S469" i="5"/>
  <c r="T469" i="5"/>
  <c r="M470" i="5"/>
  <c r="U470" i="5" s="1"/>
  <c r="N470" i="5"/>
  <c r="R470" i="5"/>
  <c r="O470" i="5" s="1"/>
  <c r="S470" i="5"/>
  <c r="T470" i="5"/>
  <c r="M471" i="5"/>
  <c r="V471" i="5" s="1"/>
  <c r="N471" i="5"/>
  <c r="R471" i="5"/>
  <c r="O471" i="5" s="1"/>
  <c r="S471" i="5"/>
  <c r="T471" i="5"/>
  <c r="M472" i="5"/>
  <c r="V472" i="5" s="1"/>
  <c r="N472" i="5"/>
  <c r="P472" i="5"/>
  <c r="R472" i="5"/>
  <c r="O472" i="5" s="1"/>
  <c r="S472" i="5"/>
  <c r="T472" i="5"/>
  <c r="X472" i="5"/>
  <c r="Y472" i="5"/>
  <c r="M473" i="5"/>
  <c r="V473" i="5" s="1"/>
  <c r="N473" i="5"/>
  <c r="R473" i="5"/>
  <c r="P473" i="5" s="1"/>
  <c r="S473" i="5"/>
  <c r="T473" i="5"/>
  <c r="M474" i="5"/>
  <c r="X474" i="5" s="1"/>
  <c r="N474" i="5"/>
  <c r="R474" i="5"/>
  <c r="Q474" i="5" s="1"/>
  <c r="S474" i="5"/>
  <c r="T474" i="5"/>
  <c r="M475" i="5"/>
  <c r="W475" i="5" s="1"/>
  <c r="N475" i="5"/>
  <c r="R475" i="5"/>
  <c r="Q475" i="5" s="1"/>
  <c r="S475" i="5"/>
  <c r="T475" i="5"/>
  <c r="M476" i="5"/>
  <c r="V476" i="5" s="1"/>
  <c r="N476" i="5"/>
  <c r="R476" i="5"/>
  <c r="O476" i="5" s="1"/>
  <c r="S476" i="5"/>
  <c r="T476" i="5"/>
  <c r="W470" i="5" l="1"/>
  <c r="U472" i="5"/>
  <c r="Q472" i="5"/>
  <c r="P464" i="5"/>
  <c r="W465" i="5"/>
  <c r="O464" i="5"/>
  <c r="Y464" i="5"/>
  <c r="X465" i="5"/>
  <c r="X464" i="5"/>
  <c r="X467" i="5"/>
  <c r="W466" i="5"/>
  <c r="U468" i="5"/>
  <c r="U467" i="5"/>
  <c r="U466" i="5"/>
  <c r="U465" i="5"/>
  <c r="U464" i="5"/>
  <c r="Y463" i="5"/>
  <c r="Y469" i="5"/>
  <c r="V463" i="5"/>
  <c r="X470" i="5"/>
  <c r="U469" i="5"/>
  <c r="V467" i="5"/>
  <c r="V466" i="5"/>
  <c r="Y475" i="5"/>
  <c r="V474" i="5"/>
  <c r="W473" i="5"/>
  <c r="X473" i="5"/>
  <c r="V475" i="5"/>
  <c r="U474" i="5"/>
  <c r="U475" i="5"/>
  <c r="Q469" i="5"/>
  <c r="Q467" i="5"/>
  <c r="Y467" i="5"/>
  <c r="O466" i="5"/>
  <c r="P476" i="5"/>
  <c r="U473" i="5"/>
  <c r="W472" i="5"/>
  <c r="Y470" i="5"/>
  <c r="U463" i="5"/>
  <c r="Q476" i="5"/>
  <c r="P474" i="5"/>
  <c r="U471" i="5"/>
  <c r="O474" i="5"/>
  <c r="V470" i="5"/>
  <c r="X469" i="5"/>
  <c r="P469" i="5"/>
  <c r="Q468" i="5"/>
  <c r="X475" i="5"/>
  <c r="W474" i="5"/>
  <c r="W469" i="5"/>
  <c r="P468" i="5"/>
  <c r="W464" i="5"/>
  <c r="Q463" i="5"/>
  <c r="Q470" i="5"/>
  <c r="P467" i="5"/>
  <c r="O475" i="5"/>
  <c r="Y473" i="5"/>
  <c r="Q473" i="5"/>
  <c r="P470" i="5"/>
  <c r="Y465" i="5"/>
  <c r="Q465" i="5"/>
  <c r="U476" i="5"/>
  <c r="P475" i="5"/>
  <c r="Y468" i="5"/>
  <c r="P465" i="5"/>
  <c r="O473" i="5"/>
  <c r="Y471" i="5"/>
  <c r="Q471" i="5"/>
  <c r="X468" i="5"/>
  <c r="Y476" i="5"/>
  <c r="W476" i="5"/>
  <c r="Y474" i="5"/>
  <c r="X471" i="5"/>
  <c r="P471" i="5"/>
  <c r="W468" i="5"/>
  <c r="Y466" i="5"/>
  <c r="Q466" i="5"/>
  <c r="X463" i="5"/>
  <c r="P463" i="5"/>
  <c r="X476" i="5"/>
  <c r="W471"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W8" i="3" l="1"/>
  <c r="C1" i="17" l="1"/>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P12" i="23"/>
  <c r="M12" i="23"/>
  <c r="K12" i="23"/>
  <c r="S8" i="23"/>
  <c r="P8" i="23"/>
  <c r="M8" i="23"/>
  <c r="K8" i="23"/>
  <c r="S7" i="23"/>
  <c r="P7" i="23"/>
  <c r="M7" i="23"/>
  <c r="K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G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9" i="3" l="1"/>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6" i="26" l="1"/>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1" i="24"/>
  <c r="D15" i="24"/>
  <c r="D16" i="24"/>
  <c r="D11" i="24"/>
  <c r="H107" i="17"/>
  <c r="H6" i="24"/>
  <c r="H27" i="17"/>
  <c r="C6" i="24"/>
  <c r="S16" i="24"/>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I17" i="24" l="1"/>
  <c r="D17" i="24"/>
  <c r="T16"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307" i="17" l="1"/>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Q481" i="5" l="1"/>
  <c r="P482" i="5"/>
  <c r="O482" i="5"/>
  <c r="P481" i="5"/>
  <c r="O481" i="5"/>
  <c r="Q482" i="5"/>
  <c r="O485" i="5"/>
  <c r="P486" i="5"/>
  <c r="P483" i="5"/>
  <c r="O484" i="5"/>
  <c r="P485" i="5"/>
  <c r="P487" i="5"/>
  <c r="O486" i="5"/>
  <c r="O483" i="5"/>
  <c r="P484" i="5"/>
  <c r="Q486" i="5"/>
  <c r="Q483" i="5"/>
  <c r="Q484" i="5"/>
  <c r="Q485" i="5"/>
  <c r="G102" i="10"/>
  <c r="G118" i="10"/>
  <c r="G103" i="10"/>
  <c r="G115" i="10"/>
  <c r="G286" i="10"/>
  <c r="G236" i="10"/>
  <c r="G530"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4" i="10"/>
  <c r="G99" i="10"/>
  <c r="G251" i="10"/>
  <c r="Z499" i="17"/>
  <c r="AC499" i="17" s="1"/>
  <c r="AC500" i="17" s="1"/>
  <c r="G153" i="10"/>
  <c r="G62" i="10"/>
  <c r="G50" i="10"/>
  <c r="G13" i="10"/>
  <c r="G506" i="10"/>
  <c r="G213" i="10"/>
  <c r="G212" i="10"/>
  <c r="G492" i="10"/>
  <c r="G358" i="10"/>
  <c r="G460" i="10"/>
  <c r="G429" i="10"/>
  <c r="G394" i="10"/>
  <c r="G552" i="10"/>
  <c r="G312" i="10"/>
  <c r="G261" i="10"/>
  <c r="G228" i="10"/>
  <c r="G278" i="10"/>
  <c r="G522"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7" i="10"/>
  <c r="G124" i="10"/>
  <c r="G125" i="10"/>
  <c r="G119" i="10"/>
  <c r="G142" i="10"/>
  <c r="G133"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92" i="10"/>
  <c r="G484" i="10"/>
  <c r="G516" i="10"/>
  <c r="G71" i="10"/>
  <c r="G360" i="10"/>
  <c r="G340" i="10"/>
  <c r="G319" i="10"/>
  <c r="G297" i="10"/>
  <c r="G269" i="10"/>
  <c r="G420" i="10"/>
  <c r="G436" i="10"/>
  <c r="G279" i="10"/>
  <c r="G465" i="10"/>
  <c r="G459" i="10"/>
  <c r="G92" i="10"/>
  <c r="G79" i="10"/>
  <c r="G444" i="10"/>
  <c r="G318" i="10"/>
  <c r="G368" i="10"/>
  <c r="G434" i="10"/>
  <c r="G405" i="10"/>
  <c r="G428" i="10"/>
  <c r="G719" i="10"/>
  <c r="G856" i="10"/>
  <c r="G805" i="10"/>
  <c r="G733" i="10"/>
  <c r="G711" i="10"/>
  <c r="G846" i="10"/>
  <c r="G748" i="10"/>
  <c r="G714" i="10"/>
  <c r="G894" i="10"/>
  <c r="G787" i="10"/>
  <c r="G707" i="10"/>
  <c r="G36" i="10"/>
  <c r="G120" i="10"/>
  <c r="G511" i="10"/>
  <c r="G16" i="10"/>
  <c r="G861" i="10"/>
  <c r="G836" i="10"/>
  <c r="G904" i="10"/>
  <c r="G155" i="10"/>
  <c r="G529" i="10"/>
  <c r="G772" i="10"/>
  <c r="G234" i="10"/>
  <c r="G523" i="10"/>
  <c r="G716" i="10"/>
  <c r="G824" i="10"/>
  <c r="G54" i="10"/>
  <c r="G729" i="10"/>
  <c r="G796" i="10"/>
  <c r="G860" i="10"/>
  <c r="G706" i="10"/>
  <c r="G766" i="10"/>
  <c r="G487" i="10"/>
  <c r="G593" i="10"/>
  <c r="G564" i="10"/>
  <c r="G490" i="10"/>
  <c r="G658" i="10"/>
  <c r="G616" i="10"/>
  <c r="G696" i="10"/>
  <c r="G610" i="10"/>
  <c r="G599" i="10"/>
  <c r="G573" i="10"/>
  <c r="G654" i="10"/>
  <c r="G524" i="10"/>
  <c r="G650" i="10"/>
  <c r="G693" i="10"/>
  <c r="G631" i="10"/>
  <c r="G590" i="10"/>
  <c r="G600" i="10"/>
  <c r="G496" i="10"/>
  <c r="G901" i="10"/>
  <c r="G218" i="10"/>
  <c r="G540" i="10"/>
  <c r="G152" i="10"/>
  <c r="G30" i="10"/>
  <c r="G33" i="10"/>
  <c r="G144" i="10"/>
  <c r="G217" i="10"/>
  <c r="G517" i="10"/>
  <c r="G285" i="10"/>
  <c r="G75" i="10"/>
  <c r="G287" i="10"/>
  <c r="G322" i="10"/>
  <c r="G266" i="10"/>
  <c r="G271" i="10"/>
  <c r="G330" i="10"/>
  <c r="G268" i="10"/>
  <c r="G415" i="10"/>
  <c r="G304" i="10"/>
  <c r="G463" i="10"/>
  <c r="G88" i="10"/>
  <c r="G359" i="10"/>
  <c r="G382" i="10"/>
  <c r="G427" i="10"/>
  <c r="G303" i="10"/>
  <c r="G337" i="10"/>
  <c r="G411" i="10"/>
  <c r="G298" i="10"/>
  <c r="G403" i="10"/>
  <c r="G756" i="10"/>
  <c r="G823" i="10"/>
  <c r="G871" i="10"/>
  <c r="G839" i="10"/>
  <c r="G780" i="10"/>
  <c r="G709" i="10"/>
  <c r="G782" i="10"/>
  <c r="G751" i="10"/>
  <c r="G898" i="10"/>
  <c r="G821" i="10"/>
  <c r="G739" i="10"/>
  <c r="G35" i="10"/>
  <c r="G134" i="10"/>
  <c r="G135" i="10"/>
  <c r="G214" i="10"/>
  <c r="G538" i="10"/>
  <c r="G728" i="10"/>
  <c r="G703" i="10"/>
  <c r="G896" i="10"/>
  <c r="G762" i="10"/>
  <c r="G808" i="10"/>
  <c r="G527" i="10"/>
  <c r="G232" i="10"/>
  <c r="G753" i="10"/>
  <c r="G857" i="10"/>
  <c r="G242" i="10"/>
  <c r="G727" i="10"/>
  <c r="G830" i="10"/>
  <c r="G233" i="10"/>
  <c r="G773" i="10"/>
  <c r="G802" i="10"/>
  <c r="G607" i="10"/>
  <c r="G639" i="10"/>
  <c r="G625" i="10"/>
  <c r="G498" i="10"/>
  <c r="G9" i="10"/>
  <c r="G694" i="10"/>
  <c r="G636" i="10"/>
  <c r="G633" i="10"/>
  <c r="G628" i="10"/>
  <c r="G670" i="10"/>
  <c r="G661" i="10"/>
  <c r="G608" i="10"/>
  <c r="G581" i="10"/>
  <c r="G614" i="10"/>
  <c r="G637" i="10"/>
  <c r="G605" i="10"/>
  <c r="G485" i="10"/>
  <c r="G682" i="10"/>
  <c r="G603" i="10"/>
  <c r="G589" i="10"/>
  <c r="G477" i="10"/>
  <c r="G579" i="10"/>
  <c r="G807" i="10"/>
  <c r="G28" i="10"/>
  <c r="G246" i="10"/>
  <c r="G223" i="10"/>
  <c r="G39" i="10"/>
  <c r="G160" i="10"/>
  <c r="G137" i="10"/>
  <c r="G167" i="10"/>
  <c r="G543" i="10"/>
  <c r="G64" i="10"/>
  <c r="G450" i="10"/>
  <c r="G82" i="10"/>
  <c r="G320" i="10"/>
  <c r="G295" i="10"/>
  <c r="G70" i="10"/>
  <c r="G86" i="10"/>
  <c r="G559" i="10"/>
  <c r="G335" i="10"/>
  <c r="G91" i="10"/>
  <c r="G469" i="10"/>
  <c r="G347" i="10"/>
  <c r="G364" i="10"/>
  <c r="G380" i="10"/>
  <c r="G432" i="10"/>
  <c r="G302" i="10"/>
  <c r="G558" i="10"/>
  <c r="G409" i="10"/>
  <c r="G367" i="10"/>
  <c r="G81" i="10"/>
  <c r="G825" i="10"/>
  <c r="G723" i="10"/>
  <c r="G838" i="10"/>
  <c r="G27" i="10"/>
  <c r="G815" i="10"/>
  <c r="G746" i="10"/>
  <c r="G779" i="10"/>
  <c r="G784" i="10"/>
  <c r="G885" i="10"/>
  <c r="G553" i="10"/>
  <c r="G701" i="10"/>
  <c r="G128" i="10"/>
  <c r="G131" i="10"/>
  <c r="G705" i="10"/>
  <c r="G17" i="10"/>
  <c r="G60" i="10"/>
  <c r="G765" i="10"/>
  <c r="G741" i="10"/>
  <c r="G892" i="10"/>
  <c r="G797" i="10"/>
  <c r="G874" i="10"/>
  <c r="G518" i="10"/>
  <c r="G229" i="10"/>
  <c r="G788" i="10"/>
  <c r="G785" i="10"/>
  <c r="G241" i="10"/>
  <c r="G764" i="10"/>
  <c r="G863" i="10"/>
  <c r="G713" i="10"/>
  <c r="G736" i="10"/>
  <c r="G868" i="10"/>
  <c r="G606" i="10"/>
  <c r="G690" i="10"/>
  <c r="G624" i="10"/>
  <c r="G499" i="10"/>
  <c r="G486" i="10"/>
  <c r="G280" i="10"/>
  <c r="G687" i="10"/>
  <c r="G684" i="10"/>
  <c r="G679" i="10"/>
  <c r="G669" i="10"/>
  <c r="G663" i="10"/>
  <c r="G481" i="10"/>
  <c r="G609" i="10"/>
  <c r="G585" i="10"/>
  <c r="G613" i="10"/>
  <c r="G641" i="10"/>
  <c r="G688" i="10"/>
  <c r="G635" i="10"/>
  <c r="G604" i="10"/>
  <c r="G648" i="10"/>
  <c r="G646" i="10"/>
  <c r="G602" i="10"/>
  <c r="G491" i="10"/>
  <c r="G642" i="10"/>
  <c r="G489" i="10"/>
  <c r="G771" i="10"/>
  <c r="G41" i="10"/>
  <c r="G147" i="10"/>
  <c r="G550" i="10"/>
  <c r="G32" i="10"/>
  <c r="G161" i="10"/>
  <c r="G138" i="10"/>
  <c r="G166" i="10"/>
  <c r="G876" i="10"/>
  <c r="G283" i="10"/>
  <c r="G446" i="10"/>
  <c r="G443" i="10"/>
  <c r="G369" i="10"/>
  <c r="G307" i="10"/>
  <c r="G292" i="10"/>
  <c r="G324" i="10"/>
  <c r="G316" i="10"/>
  <c r="G296" i="10"/>
  <c r="G462" i="10"/>
  <c r="G89" i="10"/>
  <c r="G345" i="10"/>
  <c r="G395" i="10"/>
  <c r="G376" i="10"/>
  <c r="G408" i="10"/>
  <c r="G439" i="10"/>
  <c r="G305" i="10"/>
  <c r="G328" i="10"/>
  <c r="G265" i="10"/>
  <c r="G264" i="10"/>
  <c r="G858" i="10"/>
  <c r="G760" i="10"/>
  <c r="G734" i="10"/>
  <c r="G726" i="10"/>
  <c r="G849" i="10"/>
  <c r="G778" i="10"/>
  <c r="G814" i="10"/>
  <c r="G819" i="10"/>
  <c r="G890" i="10"/>
  <c r="G199" i="10"/>
  <c r="G810" i="10"/>
  <c r="G122" i="10"/>
  <c r="G126" i="10"/>
  <c r="G743" i="10"/>
  <c r="G18" i="10"/>
  <c r="G533" i="10"/>
  <c r="G800" i="10"/>
  <c r="G903" i="10"/>
  <c r="G720" i="10"/>
  <c r="G864" i="10"/>
  <c r="G841" i="10"/>
  <c r="G49" i="10"/>
  <c r="G231" i="10"/>
  <c r="G822" i="10"/>
  <c r="G853" i="10"/>
  <c r="G56" i="10"/>
  <c r="G799" i="10"/>
  <c r="G902" i="10"/>
  <c r="G750" i="10"/>
  <c r="G809" i="10"/>
  <c r="G835" i="10"/>
  <c r="G653" i="10"/>
  <c r="G571" i="10"/>
  <c r="G623" i="10"/>
  <c r="G572" i="10"/>
  <c r="G617" i="10"/>
  <c r="G560" i="10"/>
  <c r="G77" i="10"/>
  <c r="G566" i="10"/>
  <c r="G483" i="10"/>
  <c r="G668" i="10"/>
  <c r="G659" i="10"/>
  <c r="G676" i="10"/>
  <c r="G597" i="10"/>
  <c r="G615" i="10"/>
  <c r="G611" i="10"/>
  <c r="G675" i="10"/>
  <c r="G95" i="10"/>
  <c r="G686" i="10"/>
  <c r="G592" i="10"/>
  <c r="G643" i="10"/>
  <c r="G8" i="10"/>
  <c r="G488" i="10"/>
  <c r="G878" i="10"/>
  <c r="G45" i="10"/>
  <c r="G146" i="10"/>
  <c r="G247" i="10"/>
  <c r="G34" i="10"/>
  <c r="G163" i="10"/>
  <c r="G140" i="10"/>
  <c r="G249" i="10"/>
  <c r="G520" i="10"/>
  <c r="G351" i="10"/>
  <c r="G281" i="10"/>
  <c r="G426" i="10"/>
  <c r="G401" i="10"/>
  <c r="G331" i="10"/>
  <c r="G557" i="10"/>
  <c r="G325" i="10"/>
  <c r="G314" i="10"/>
  <c r="G311" i="10"/>
  <c r="G454" i="10"/>
  <c r="G473" i="10"/>
  <c r="G471" i="10"/>
  <c r="G392" i="10"/>
  <c r="G387" i="10"/>
  <c r="G267" i="10"/>
  <c r="G418" i="10"/>
  <c r="G556" i="10"/>
  <c r="G309" i="10"/>
  <c r="G72" i="10"/>
  <c r="G73" i="10"/>
  <c r="G220" i="10"/>
  <c r="G795" i="10"/>
  <c r="G732" i="10"/>
  <c r="G763" i="10"/>
  <c r="G708" i="10"/>
  <c r="G813" i="10"/>
  <c r="G710" i="10"/>
  <c r="G852" i="10"/>
  <c r="G888" i="10"/>
  <c r="G801" i="10"/>
  <c r="G843" i="10"/>
  <c r="G121" i="10"/>
  <c r="G776" i="10"/>
  <c r="G722" i="10"/>
  <c r="G730" i="10"/>
  <c r="G834" i="10"/>
  <c r="G158" i="10"/>
  <c r="G757" i="10"/>
  <c r="G725" i="10"/>
  <c r="G704" i="10"/>
  <c r="G225" i="10"/>
  <c r="G525" i="10"/>
  <c r="G855" i="10"/>
  <c r="G451" i="10"/>
  <c r="G243" i="10"/>
  <c r="G833" i="10"/>
  <c r="G721" i="10"/>
  <c r="G783" i="10"/>
  <c r="G842" i="10"/>
  <c r="G257" i="10"/>
  <c r="G570" i="10"/>
  <c r="G565" i="10"/>
  <c r="G495" i="10"/>
  <c r="G667" i="10"/>
  <c r="G578" i="10"/>
  <c r="G510" i="10"/>
  <c r="G494" i="10"/>
  <c r="G503" i="10"/>
  <c r="G671" i="10"/>
  <c r="G698" i="10"/>
  <c r="G575" i="10"/>
  <c r="G598" i="10"/>
  <c r="G622" i="10"/>
  <c r="G618" i="10"/>
  <c r="G645" i="10"/>
  <c r="G96" i="10"/>
  <c r="G561" i="10"/>
  <c r="G591" i="10"/>
  <c r="G632" i="10"/>
  <c r="G630" i="10"/>
  <c r="G697" i="10"/>
  <c r="G626" i="10"/>
  <c r="G501" i="10"/>
  <c r="G775" i="10"/>
  <c r="G260" i="10"/>
  <c r="G148" i="10"/>
  <c r="G37" i="10"/>
  <c r="G38" i="10"/>
  <c r="G250" i="10"/>
  <c r="G145" i="10"/>
  <c r="G551" i="10"/>
  <c r="G259" i="10"/>
  <c r="G276" i="10"/>
  <c r="G448" i="10"/>
  <c r="G441" i="10"/>
  <c r="G399" i="10"/>
  <c r="G299" i="10"/>
  <c r="G67" i="10"/>
  <c r="G350" i="10"/>
  <c r="G6" i="10"/>
  <c r="G336" i="10"/>
  <c r="G457" i="10"/>
  <c r="G389" i="10"/>
  <c r="G375" i="10"/>
  <c r="G390" i="10"/>
  <c r="G378" i="10"/>
  <c r="G323" i="10"/>
  <c r="G326" i="10"/>
  <c r="G293" i="10"/>
  <c r="G373" i="10"/>
  <c r="G555" i="10"/>
  <c r="G352" i="10"/>
  <c r="G717" i="10"/>
  <c r="G829" i="10"/>
  <c r="G770" i="10"/>
  <c r="G798" i="10"/>
  <c r="G745" i="10"/>
  <c r="G847" i="10"/>
  <c r="G747" i="10"/>
  <c r="G880" i="10"/>
  <c r="G883" i="10"/>
  <c r="G201" i="10"/>
  <c r="G774" i="10"/>
  <c r="G132" i="10"/>
  <c r="G136" i="10"/>
  <c r="G845" i="10"/>
  <c r="G759" i="10"/>
  <c r="G767" i="10"/>
  <c r="G867" i="10"/>
  <c r="G735" i="10"/>
  <c r="G792" i="10"/>
  <c r="G831" i="10"/>
  <c r="G742" i="10"/>
  <c r="G519" i="10"/>
  <c r="G521" i="10"/>
  <c r="G718" i="10"/>
  <c r="G447" i="10"/>
  <c r="G702" i="10"/>
  <c r="G866" i="10"/>
  <c r="G758" i="10"/>
  <c r="G818" i="10"/>
  <c r="G875" i="10"/>
  <c r="G93" i="10"/>
  <c r="G640" i="10"/>
  <c r="G230" i="10"/>
  <c r="G97" i="10"/>
  <c r="G479" i="10"/>
  <c r="G638" i="10"/>
  <c r="G577" i="10"/>
  <c r="G576" i="10"/>
  <c r="G567" i="10"/>
  <c r="G665" i="10"/>
  <c r="G664" i="10"/>
  <c r="G657" i="10"/>
  <c r="G574" i="10"/>
  <c r="G595" i="10"/>
  <c r="G621" i="10"/>
  <c r="G612" i="10"/>
  <c r="G502" i="10"/>
  <c r="G505" i="10"/>
  <c r="G568" i="10"/>
  <c r="G683" i="10"/>
  <c r="G681" i="10"/>
  <c r="G627" i="10"/>
  <c r="G655" i="10"/>
  <c r="G677" i="10"/>
  <c r="G154" i="10"/>
  <c r="G844" i="10"/>
  <c r="G165" i="10"/>
  <c r="G151" i="10"/>
  <c r="G546" i="10"/>
  <c r="G31" i="10"/>
  <c r="G139" i="10"/>
  <c r="G262" i="10"/>
  <c r="G515" i="10"/>
  <c r="G877" i="10"/>
  <c r="G438" i="10"/>
  <c r="G300" i="10"/>
  <c r="G431" i="10"/>
  <c r="G356" i="10"/>
  <c r="G435" i="10"/>
  <c r="G754" i="10"/>
  <c r="G777" i="10"/>
  <c r="G884" i="10"/>
  <c r="G130" i="10"/>
  <c r="G791" i="10"/>
  <c r="G905" i="10"/>
  <c r="G58" i="10"/>
  <c r="G851" i="10"/>
  <c r="G116" i="10"/>
  <c r="G480" i="10"/>
  <c r="G673" i="10"/>
  <c r="G620" i="10"/>
  <c r="G634" i="10"/>
  <c r="G678" i="10"/>
  <c r="G811" i="10"/>
  <c r="G5" i="10"/>
  <c r="G545" i="10"/>
  <c r="G207" i="10"/>
  <c r="G252" i="10"/>
  <c r="G554" i="10"/>
  <c r="G177" i="10"/>
  <c r="G172" i="10"/>
  <c r="G192" i="10"/>
  <c r="G211" i="10"/>
  <c r="G804" i="10"/>
  <c r="G532" i="10"/>
  <c r="G537" i="10"/>
  <c r="G111" i="10"/>
  <c r="G185" i="10"/>
  <c r="G315" i="10"/>
  <c r="G101" i="10"/>
  <c r="G366" i="10"/>
  <c r="G400" i="10"/>
  <c r="G274" i="10"/>
  <c r="G65" i="10"/>
  <c r="G474" i="10"/>
  <c r="G396" i="10"/>
  <c r="G388" i="10"/>
  <c r="G410" i="10"/>
  <c r="G76" i="10"/>
  <c r="G886" i="10"/>
  <c r="G46" i="10"/>
  <c r="G273" i="10"/>
  <c r="G848" i="10"/>
  <c r="G724" i="10"/>
  <c r="G672" i="10"/>
  <c r="G150" i="10"/>
  <c r="G44" i="10"/>
  <c r="G193" i="10"/>
  <c r="G53" i="10"/>
  <c r="G282" i="10"/>
  <c r="G416" i="10"/>
  <c r="G338" i="10"/>
  <c r="G893" i="10"/>
  <c r="G417" i="10"/>
  <c r="G342" i="10"/>
  <c r="G407" i="10"/>
  <c r="G475" i="10"/>
  <c r="G413" i="10"/>
  <c r="G789" i="10"/>
  <c r="G812" i="10"/>
  <c r="G882" i="10"/>
  <c r="G512" i="10"/>
  <c r="G47" i="10"/>
  <c r="G900" i="10"/>
  <c r="G52" i="10"/>
  <c r="G744" i="10"/>
  <c r="G594" i="10"/>
  <c r="G651" i="10"/>
  <c r="G619" i="10"/>
  <c r="G674" i="10"/>
  <c r="G685" i="10"/>
  <c r="G497" i="10"/>
  <c r="G4" i="10"/>
  <c r="G245" i="10"/>
  <c r="G541" i="10"/>
  <c r="G208" i="10"/>
  <c r="G258" i="10"/>
  <c r="G40" i="10"/>
  <c r="G179" i="10"/>
  <c r="G173" i="10"/>
  <c r="G14" i="10"/>
  <c r="G25" i="10"/>
  <c r="G870" i="10"/>
  <c r="G531" i="10"/>
  <c r="G51" i="10"/>
  <c r="G105" i="10"/>
  <c r="G187" i="10"/>
  <c r="G66" i="10"/>
  <c r="G11" i="10"/>
  <c r="G361" i="10"/>
  <c r="G398" i="10"/>
  <c r="G421" i="10"/>
  <c r="G455" i="10"/>
  <c r="G348" i="10"/>
  <c r="G393" i="10"/>
  <c r="G344" i="10"/>
  <c r="G329" i="10"/>
  <c r="G353" i="10"/>
  <c r="G891" i="10"/>
  <c r="G384" i="10"/>
  <c r="G219" i="10"/>
  <c r="G528" i="10"/>
  <c r="G270" i="10"/>
  <c r="G647" i="10"/>
  <c r="G198" i="10"/>
  <c r="G175" i="10"/>
  <c r="G817" i="10"/>
  <c r="G100" i="10"/>
  <c r="G476" i="10"/>
  <c r="G445" i="10"/>
  <c r="G386" i="10"/>
  <c r="G452" i="10"/>
  <c r="G362" i="10"/>
  <c r="G433" i="10"/>
  <c r="G862" i="10"/>
  <c r="G781" i="10"/>
  <c r="G700" i="10"/>
  <c r="G222" i="10"/>
  <c r="G159" i="10"/>
  <c r="G227" i="10"/>
  <c r="G740" i="10"/>
  <c r="G699" i="10"/>
  <c r="G493" i="10"/>
  <c r="G580" i="10"/>
  <c r="G584" i="10"/>
  <c r="G504" i="10"/>
  <c r="G695" i="10"/>
  <c r="G164" i="10"/>
  <c r="G141" i="10"/>
  <c r="G196" i="10"/>
  <c r="G210" i="10"/>
  <c r="G255" i="10"/>
  <c r="G547" i="10"/>
  <c r="G182" i="10"/>
  <c r="G174" i="10"/>
  <c r="G194" i="10"/>
  <c r="G715" i="10"/>
  <c r="G837" i="10"/>
  <c r="G239" i="10"/>
  <c r="G850" i="10"/>
  <c r="G94" i="10"/>
  <c r="G188" i="10"/>
  <c r="G284" i="10"/>
  <c r="G113" i="10"/>
  <c r="G288" i="10"/>
  <c r="G334" i="10"/>
  <c r="G355" i="10"/>
  <c r="G458" i="10"/>
  <c r="G346" i="10"/>
  <c r="G391" i="10"/>
  <c r="G419" i="10"/>
  <c r="G310" i="10"/>
  <c r="G290" i="10"/>
  <c r="G889" i="10"/>
  <c r="G422" i="10"/>
  <c r="G372" i="10"/>
  <c r="G826" i="10"/>
  <c r="G586" i="10"/>
  <c r="G629" i="10"/>
  <c r="G254" i="10"/>
  <c r="G263" i="10"/>
  <c r="G61" i="10"/>
  <c r="G183" i="10"/>
  <c r="G332" i="10"/>
  <c r="G363" i="10"/>
  <c r="G514" i="10"/>
  <c r="G365" i="10"/>
  <c r="G423" i="10"/>
  <c r="G467" i="10"/>
  <c r="G78" i="10"/>
  <c r="G84" i="10"/>
  <c r="G769" i="10"/>
  <c r="G816" i="10"/>
  <c r="G738" i="10"/>
  <c r="G22" i="10"/>
  <c r="G156" i="10"/>
  <c r="G526" i="10"/>
  <c r="G244" i="10"/>
  <c r="G737" i="10"/>
  <c r="G507" i="10"/>
  <c r="G649" i="10"/>
  <c r="G656" i="10"/>
  <c r="G569" i="10"/>
  <c r="G10" i="10"/>
  <c r="G601" i="10"/>
  <c r="G539" i="10"/>
  <c r="G143" i="10"/>
  <c r="G195" i="10"/>
  <c r="G205" i="10"/>
  <c r="G256" i="10"/>
  <c r="G216" i="10"/>
  <c r="G180" i="10"/>
  <c r="G171" i="10"/>
  <c r="G191" i="10"/>
  <c r="G752" i="10"/>
  <c r="G731" i="10"/>
  <c r="G59" i="10"/>
  <c r="G749" i="10"/>
  <c r="G117" i="10"/>
  <c r="G189" i="10"/>
  <c r="G277" i="10"/>
  <c r="G106" i="10"/>
  <c r="G442" i="10"/>
  <c r="G308" i="10"/>
  <c r="G437" i="10"/>
  <c r="G453" i="10"/>
  <c r="G339" i="10"/>
  <c r="G357" i="10"/>
  <c r="G327" i="10"/>
  <c r="G406" i="10"/>
  <c r="G48" i="10"/>
  <c r="G897" i="10"/>
  <c r="G424" i="10"/>
  <c r="G806" i="10"/>
  <c r="G794" i="10"/>
  <c r="G509" i="10"/>
  <c r="G588" i="10"/>
  <c r="G209" i="10"/>
  <c r="G181" i="10"/>
  <c r="G786" i="10"/>
  <c r="G108" i="10"/>
  <c r="G425" i="10"/>
  <c r="G468" i="10"/>
  <c r="G74" i="10"/>
  <c r="G397" i="10"/>
  <c r="G349" i="10"/>
  <c r="G370" i="10"/>
  <c r="G306" i="10"/>
  <c r="G289" i="10"/>
  <c r="G832" i="10"/>
  <c r="G887" i="10"/>
  <c r="G129" i="10"/>
  <c r="G803" i="10"/>
  <c r="G235" i="10"/>
  <c r="G755" i="10"/>
  <c r="G793" i="10"/>
  <c r="G691" i="10"/>
  <c r="G689" i="10"/>
  <c r="G662" i="10"/>
  <c r="G596" i="10"/>
  <c r="G500" i="10"/>
  <c r="G562" i="10"/>
  <c r="G840" i="10"/>
  <c r="G253" i="10"/>
  <c r="G221" i="10"/>
  <c r="G203" i="10"/>
  <c r="G248" i="10"/>
  <c r="G879" i="10"/>
  <c r="G3" i="10"/>
  <c r="G169" i="10"/>
  <c r="G20" i="10"/>
  <c r="G24" i="10"/>
  <c r="G854" i="10"/>
  <c r="G57" i="10"/>
  <c r="G240" i="10"/>
  <c r="G449" i="10"/>
  <c r="G12" i="10"/>
  <c r="G186" i="10"/>
  <c r="G200" i="10"/>
  <c r="G112" i="10"/>
  <c r="G321" i="10"/>
  <c r="G272" i="10"/>
  <c r="G85" i="10"/>
  <c r="G464" i="10"/>
  <c r="G461" i="10"/>
  <c r="G381" i="10"/>
  <c r="G414" i="10"/>
  <c r="G430" i="10"/>
  <c r="G899" i="10"/>
  <c r="G385" i="10"/>
  <c r="G333" i="10"/>
  <c r="G354" i="10"/>
  <c r="G371" i="10"/>
  <c r="G374" i="10"/>
  <c r="G69" i="10"/>
  <c r="G865" i="10"/>
  <c r="G881" i="10"/>
  <c r="G123" i="10"/>
  <c r="G869" i="10"/>
  <c r="G238" i="10"/>
  <c r="G790" i="10"/>
  <c r="G827" i="10"/>
  <c r="G341" i="10"/>
  <c r="G828" i="10"/>
  <c r="G644" i="10"/>
  <c r="G587" i="10"/>
  <c r="G549" i="10"/>
  <c r="G19" i="10"/>
  <c r="G55" i="10"/>
  <c r="G21" i="10"/>
  <c r="G313" i="10"/>
  <c r="G294" i="10"/>
  <c r="G542" i="10"/>
  <c r="G652" i="10"/>
  <c r="G114" i="10"/>
  <c r="G440" i="10"/>
  <c r="G859" i="10"/>
  <c r="G660" i="10"/>
  <c r="G873" i="10"/>
  <c r="G29" i="10"/>
  <c r="G204" i="10"/>
  <c r="G535" i="10"/>
  <c r="G107" i="10"/>
  <c r="G83" i="10"/>
  <c r="G412" i="10"/>
  <c r="G680" i="10"/>
  <c r="G104" i="10"/>
  <c r="G379" i="10"/>
  <c r="G482" i="10"/>
  <c r="G768" i="10"/>
  <c r="G80" i="10"/>
  <c r="G456" i="10"/>
  <c r="G226" i="10"/>
  <c r="G583" i="10"/>
  <c r="G149" i="10"/>
  <c r="G43" i="10"/>
  <c r="G23" i="10"/>
  <c r="G712" i="10"/>
  <c r="G2" i="10"/>
  <c r="G466" i="10"/>
  <c r="G291" i="10"/>
  <c r="G582" i="10"/>
  <c r="G820" i="10"/>
  <c r="G7" i="10"/>
  <c r="G872" i="10"/>
  <c r="G176" i="10"/>
  <c r="G895" i="10"/>
  <c r="G42" i="10"/>
  <c r="G317" i="10"/>
  <c r="G761" i="10"/>
  <c r="G666" i="10"/>
  <c r="G548" i="10"/>
  <c r="G215" i="10"/>
  <c r="G26" i="10"/>
  <c r="G87" i="10"/>
  <c r="G275" i="10"/>
  <c r="G470" i="10"/>
  <c r="G404" i="10"/>
  <c r="G63" i="10"/>
  <c r="G178" i="10"/>
  <c r="G472" i="10"/>
  <c r="G224" i="10"/>
  <c r="G402" i="10"/>
  <c r="G301" i="10"/>
  <c r="G478" i="10"/>
  <c r="G15" i="10"/>
  <c r="G168" i="10"/>
  <c r="G534" i="10"/>
  <c r="G184" i="10"/>
  <c r="G343" i="10"/>
  <c r="G383" i="10"/>
  <c r="G90" i="10"/>
  <c r="G162" i="10"/>
  <c r="G563" i="10"/>
  <c r="G508" i="10"/>
  <c r="G202" i="10"/>
  <c r="G170" i="10"/>
  <c r="G536" i="10"/>
  <c r="G190" i="10"/>
  <c r="G68" i="10"/>
  <c r="G377" i="10"/>
  <c r="M361" i="3"/>
  <c r="AI455" i="3"/>
  <c r="S362" i="3"/>
  <c r="F249" i="3"/>
  <c r="F104" i="3"/>
  <c r="E26" i="19" s="1"/>
  <c r="F241" i="3"/>
  <c r="E284" i="3"/>
  <c r="F175" i="3"/>
  <c r="E184" i="3"/>
  <c r="F376" i="3"/>
  <c r="F162" i="3"/>
  <c r="E32" i="19" s="1"/>
  <c r="F184" i="3"/>
  <c r="F303" i="3"/>
  <c r="F308" i="3" s="1"/>
  <c r="F313" i="3" s="1"/>
  <c r="E56" i="19" s="1"/>
  <c r="F152" i="3"/>
  <c r="F228" i="3"/>
  <c r="F96" i="3"/>
  <c r="E22" i="19" s="1"/>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E193" i="3" l="1"/>
  <c r="E38" i="19" s="1"/>
  <c r="E185" i="3"/>
  <c r="O487" i="5"/>
  <c r="Q487" i="5"/>
  <c r="L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K176" i="3" s="1"/>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R171" i="3" l="1"/>
  <c r="M171" i="3"/>
  <c r="R177" i="3"/>
  <c r="M177" i="3"/>
  <c r="R174" i="3"/>
  <c r="M174" i="3"/>
  <c r="R95" i="3"/>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L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R96" i="3" l="1"/>
  <c r="R97" i="3" s="1"/>
  <c r="E31" i="3"/>
  <c r="B12" i="27"/>
  <c r="L16" i="27"/>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J158" i="3"/>
  <c r="K158"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C5" i="25" s="1"/>
  <c r="K22" i="3"/>
  <c r="R22" i="3" s="1"/>
  <c r="K23" i="3"/>
  <c r="R23" i="3" s="1"/>
  <c r="K21" i="3"/>
  <c r="R21" i="3" s="1"/>
  <c r="K13" i="3"/>
  <c r="N13" i="3"/>
  <c r="B18" i="27" l="1"/>
  <c r="F20" i="27"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20" i="25"/>
  <c r="C15" i="25"/>
  <c r="C17" i="25" s="1"/>
  <c r="C7" i="25"/>
  <c r="C8" i="25" s="1"/>
  <c r="C22" i="25"/>
  <c r="C10" i="25"/>
  <c r="C11" i="25"/>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L82" i="3"/>
  <c r="J82" i="3" s="1"/>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18" i="27" l="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11" i="25" s="1"/>
  <c r="E6" i="25"/>
  <c r="I22" i="25"/>
  <c r="J22" i="25" s="1"/>
  <c r="J27" i="25" s="1"/>
  <c r="I10" i="25"/>
  <c r="I12" i="25" s="1"/>
  <c r="I20" i="25"/>
  <c r="I7" i="25"/>
  <c r="I8" i="25" s="1"/>
  <c r="H23" i="25"/>
  <c r="C12" i="25"/>
  <c r="T7" i="25"/>
  <c r="R23" i="25"/>
  <c r="T20" i="25"/>
  <c r="H17" i="25"/>
  <c r="H33" i="25" s="1"/>
  <c r="I33" i="25" s="1"/>
  <c r="J15" i="25"/>
  <c r="J17" i="25" s="1"/>
  <c r="D7" i="25"/>
  <c r="D8" i="25" s="1"/>
  <c r="D22" i="25"/>
  <c r="E22" i="25" s="1"/>
  <c r="D10" i="25"/>
  <c r="E10" i="25" s="1"/>
  <c r="D20" i="25"/>
  <c r="E20" i="25" s="1"/>
  <c r="E5" i="25"/>
  <c r="R12" i="25"/>
  <c r="T10" i="25"/>
  <c r="T12" i="25" s="1"/>
  <c r="H12" i="25"/>
  <c r="O7" i="25"/>
  <c r="N5" i="25"/>
  <c r="R17" i="25"/>
  <c r="T15" i="25"/>
  <c r="T17" i="25" s="1"/>
  <c r="M10" i="25"/>
  <c r="M11" i="25"/>
  <c r="O11" i="25" s="1"/>
  <c r="M20" i="25"/>
  <c r="M15" i="25"/>
  <c r="M7" i="25"/>
  <c r="M8" i="25" s="1"/>
  <c r="M22" i="25"/>
  <c r="C23" i="25"/>
  <c r="X19" i="17"/>
  <c r="Y19" i="17" s="1"/>
  <c r="AF479" i="3"/>
  <c r="AD479" i="3" s="1"/>
  <c r="K82" i="3"/>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34" i="24" l="1"/>
  <c r="N83" i="3"/>
  <c r="E33" i="25"/>
  <c r="N83" i="17"/>
  <c r="N85" i="17" s="1"/>
  <c r="T29" i="24"/>
  <c r="G46" i="19"/>
  <c r="J46" i="19" s="1"/>
  <c r="D23" i="24"/>
  <c r="T23" i="24"/>
  <c r="T21" i="24"/>
  <c r="T26" i="24" s="1"/>
  <c r="J10" i="24"/>
  <c r="J12" i="24" s="1"/>
  <c r="H46" i="19"/>
  <c r="K46" i="19" s="1"/>
  <c r="E12" i="25"/>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E27" i="25"/>
  <c r="J10" i="25"/>
  <c r="J12" i="25" s="1"/>
  <c r="J18" i="25" s="1"/>
  <c r="E21" i="25"/>
  <c r="E26" i="25" s="1"/>
  <c r="E23" i="25"/>
  <c r="M23" i="25"/>
  <c r="M12" i="25"/>
  <c r="T25" i="25"/>
  <c r="T29" i="25" s="1"/>
  <c r="T21" i="25"/>
  <c r="T26" i="25" s="1"/>
  <c r="T23" i="25"/>
  <c r="D12" i="25"/>
  <c r="E7" i="25"/>
  <c r="E25"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C33" i="24" l="1"/>
  <c r="D33" i="24" s="1"/>
  <c r="C32" i="24"/>
  <c r="D32" i="24" s="1"/>
  <c r="D33" i="25"/>
  <c r="E34" i="25"/>
  <c r="J18" i="24"/>
  <c r="J25" i="24"/>
  <c r="J29" i="24" s="1"/>
  <c r="J21" i="24"/>
  <c r="J26" i="24" s="1"/>
  <c r="J23" i="24"/>
  <c r="E18" i="24"/>
  <c r="E23" i="24"/>
  <c r="E21" i="24"/>
  <c r="E26" i="24" s="1"/>
  <c r="E25" i="24"/>
  <c r="E29" i="24" s="1"/>
  <c r="E29" i="25"/>
  <c r="O10" i="25"/>
  <c r="O12" i="25" s="1"/>
  <c r="O18" i="25" s="1"/>
  <c r="N23" i="25"/>
  <c r="O20" i="25"/>
  <c r="J25" i="25"/>
  <c r="J29" i="25" s="1"/>
  <c r="J23" i="25"/>
  <c r="J21" i="25"/>
  <c r="J26" i="25" s="1"/>
  <c r="E18" i="25"/>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O23" i="25" l="1"/>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 r="U436" i="3" l="1"/>
  <c r="U437" i="3"/>
  <c r="U435" i="3" l="1"/>
</calcChain>
</file>

<file path=xl/comments1.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authors>
    <author/>
  </authors>
  <commentList>
    <comment ref="U1" authorId="0" shapeId="0">
      <text>
        <r>
          <rPr>
            <sz val="11"/>
            <color theme="1"/>
            <rFont val="Arial"/>
            <family val="2"/>
          </rPr>
          <t>SI #N/A compte non intégré = erreur</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rPr>
          <t>SI #N/A compte non intégré = erreur</t>
        </r>
      </text>
    </comment>
  </commentList>
</comments>
</file>

<file path=xl/sharedStrings.xml><?xml version="1.0" encoding="utf-8"?>
<sst xmlns="http://schemas.openxmlformats.org/spreadsheetml/2006/main" count="14129" uniqueCount="3614">
  <si>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</si>
  <si>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</si>
  <si>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</si>
  <si>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</si>
  <si>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</si>
  <si>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</si>
  <si>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</si>
  <si>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</si>
  <si>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</si>
  <si>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</si>
  <si>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</si>
  <si>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</si>
  <si>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</si>
  <si>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</si>
  <si>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</si>
  <si>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</si>
  <si>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</si>
  <si>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</si>
  <si>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</si>
  <si>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</si>
  <si>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</si>
  <si>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</si>
  <si>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</si>
  <si>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</si>
  <si>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</si>
  <si>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</si>
  <si>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</si>
  <si>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</si>
  <si>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</si>
  <si>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</si>
  <si>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</si>
  <si>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</si>
  <si>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</si>
  <si>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</si>
  <si>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</si>
  <si>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</si>
  <si>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</si>
  <si>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</si>
  <si>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</si>
  <si>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</si>
  <si>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</si>
  <si>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</si>
  <si>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</si>
  <si>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</si>
  <si>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</si>
  <si>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</si>
  <si>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</si>
  <si>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</si>
  <si>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</si>
  <si>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</si>
  <si>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</si>
  <si>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</si>
  <si>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</si>
  <si>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</si>
  <si>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</si>
  <si>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</si>
  <si>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</si>
  <si>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</si>
  <si>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</si>
  <si>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</si>
  <si>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</si>
  <si>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</si>
  <si>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</si>
  <si>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</si>
  <si>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</si>
  <si>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</si>
  <si>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</si>
  <si>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</si>
  <si>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</si>
  <si>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</si>
  <si>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</si>
  <si>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</si>
  <si>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</si>
  <si>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</si>
  <si>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</si>
  <si>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</si>
  <si>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</si>
  <si>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</si>
  <si>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</si>
  <si>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</si>
  <si>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</si>
  <si>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</si>
  <si>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</si>
  <si>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</si>
  <si>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</si>
  <si>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</si>
  <si>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</si>
  <si>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</si>
  <si>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</si>
  <si>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</si>
  <si>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</si>
  <si>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</si>
  <si>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</si>
  <si>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</si>
  <si>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</si>
  <si>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</si>
  <si>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</si>
  <si>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</si>
  <si>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</si>
  <si>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</si>
  <si>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</si>
  <si>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</si>
  <si>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</si>
  <si>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</si>
  <si>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</si>
  <si>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</si>
  <si>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</si>
  <si>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</si>
  <si>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</si>
  <si>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</si>
  <si>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</si>
  <si>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</si>
  <si>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</si>
  <si>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</si>
  <si>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</si>
  <si>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</si>
  <si>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</si>
  <si>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</si>
  <si>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</si>
  <si>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</si>
  <si>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</si>
  <si>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</si>
  <si>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</si>
  <si>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</si>
  <si>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</si>
  <si>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</si>
  <si>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</si>
  <si>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</si>
  <si>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</si>
  <si>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</si>
  <si>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</si>
  <si>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</si>
  <si>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</si>
  <si>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</si>
  <si>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</si>
  <si>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</si>
  <si>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</si>
  <si>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</si>
  <si>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</si>
  <si>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</si>
  <si>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</si>
  <si>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</si>
  <si>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</si>
  <si>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</si>
  <si>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</si>
  <si>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</si>
  <si>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</si>
  <si>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</si>
  <si>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</si>
  <si>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</si>
  <si>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</si>
  <si>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</si>
  <si>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</si>
  <si>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</si>
  <si>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</si>
  <si>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</si>
  <si>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</si>
  <si>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</si>
  <si>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</si>
  <si>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</si>
  <si>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</si>
  <si>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</si>
  <si>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</si>
  <si>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</si>
  <si>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</si>
  <si>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</si>
  <si>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</si>
  <si>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</si>
  <si>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</si>
  <si>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</si>
  <si>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</si>
  <si>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</si>
  <si>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</si>
  <si>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</si>
  <si>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</si>
  <si>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</si>
  <si>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</si>
  <si>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</si>
  <si>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</si>
  <si>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</si>
  <si>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</si>
  <si>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</si>
  <si>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</si>
  <si>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</si>
  <si>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</si>
  <si>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</si>
  <si>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</si>
  <si>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</si>
  <si>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</si>
  <si>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</si>
  <si>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</si>
  <si>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</si>
  <si>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</si>
  <si>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</si>
  <si>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</si>
  <si>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</si>
  <si>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</si>
  <si>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</si>
  <si>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</si>
  <si>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</si>
  <si>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</si>
  <si>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</si>
  <si>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</si>
  <si>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</si>
  <si>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</si>
  <si>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</si>
  <si>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</si>
  <si>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</si>
  <si>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</si>
  <si>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</si>
  <si>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</si>
  <si>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</si>
  <si>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</si>
  <si>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</si>
  <si>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</si>
  <si>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</si>
  <si>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</si>
  <si>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</si>
  <si>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</si>
  <si>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</si>
  <si>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</si>
  <si>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</si>
  <si>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</si>
  <si>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</si>
  <si>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</si>
  <si>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</si>
  <si>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</si>
  <si>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</si>
  <si>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</si>
  <si>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</si>
  <si>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</si>
  <si>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</si>
  <si>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</si>
  <si>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</si>
  <si>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</si>
  <si>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</si>
  <si>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</si>
  <si>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</si>
  <si>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</si>
  <si>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</si>
  <si>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</si>
  <si>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</si>
  <si>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</si>
  <si>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</si>
  <si>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</si>
  <si>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</si>
  <si>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</si>
  <si>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</si>
  <si>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</si>
  <si>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</si>
  <si>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</si>
  <si>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</si>
  <si>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</si>
  <si>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</si>
  <si>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</si>
  <si>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</si>
  <si>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</si>
  <si>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</si>
  <si>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</si>
  <si>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</si>
  <si>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</si>
  <si>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</si>
  <si>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</si>
  <si>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</si>
  <si>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</si>
  <si>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</si>
  <si>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</si>
  <si>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</si>
  <si>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</si>
  <si>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</si>
  <si>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</si>
  <si>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</si>
  <si>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</si>
  <si>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</si>
  <si>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</si>
  <si>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</si>
  <si>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</si>
  <si>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</si>
  <si>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</si>
  <si>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</si>
  <si>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</si>
  <si>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</si>
  <si>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</si>
  <si>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</si>
  <si>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</si>
  <si>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</si>
  <si>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</si>
  <si>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</si>
  <si>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</si>
  <si>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</si>
  <si>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</si>
  <si>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</si>
  <si>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</si>
  <si>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</si>
  <si>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</si>
  <si>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</si>
  <si>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</si>
  <si>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</si>
  <si>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</si>
  <si>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</si>
  <si>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</si>
  <si>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</si>
  <si>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</si>
  <si>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</si>
  <si>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</si>
  <si>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</si>
  <si>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</si>
  <si>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</si>
  <si>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</si>
  <si>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</si>
  <si>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</si>
  <si>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</si>
  <si>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</si>
  <si>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</si>
  <si>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</si>
  <si>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</si>
  <si>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</si>
  <si>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</si>
  <si>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</si>
  <si>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</si>
  <si>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</si>
  <si>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</si>
  <si>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</si>
  <si>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</si>
  <si>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</si>
  <si>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</si>
  <si>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</si>
  <si>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</si>
  <si>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</si>
  <si>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</si>
  <si>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</si>
  <si>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</si>
  <si>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</si>
  <si>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</si>
  <si>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</si>
  <si>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</si>
  <si>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</si>
  <si>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</si>
  <si>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</si>
  <si>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</si>
  <si>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</si>
  <si>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</si>
  <si>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</si>
  <si>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</si>
  <si>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</si>
  <si>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</si>
  <si>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</si>
  <si>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</si>
  <si>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</si>
  <si>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</si>
  <si>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</si>
  <si>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</si>
  <si>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</si>
  <si>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</si>
  <si>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</si>
  <si>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</si>
  <si>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</si>
  <si>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</si>
  <si>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</si>
  <si>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</si>
  <si>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</si>
  <si>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</si>
  <si>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</si>
  <si>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</si>
  <si>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</si>
  <si>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</si>
  <si>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</si>
  <si>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</si>
  <si>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</si>
  <si>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</si>
  <si>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</si>
  <si>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</si>
  <si>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</si>
  <si>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</si>
  <si>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</si>
  <si>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</si>
  <si>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</si>
  <si>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</si>
  <si>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</si>
  <si>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</si>
  <si>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</si>
  <si>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</si>
  <si>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</si>
  <si>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</si>
  <si>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</si>
  <si>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</si>
  <si>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</si>
  <si>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</si>
  <si>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</si>
  <si>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</si>
  <si>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</si>
  <si>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</si>
  <si>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</si>
  <si>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</si>
  <si>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</si>
  <si>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</si>
  <si>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</si>
  <si>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</si>
  <si>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</si>
  <si>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</si>
  <si>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</si>
  <si>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</si>
  <si>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</si>
  <si>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</si>
  <si>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</si>
  <si>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</si>
  <si>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</si>
  <si>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</si>
  <si>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</si>
  <si>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</si>
  <si>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</si>
  <si>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</si>
  <si>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</si>
  <si>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</si>
  <si>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</si>
  <si>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</si>
  <si>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</si>
  <si>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</si>
  <si>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</si>
  <si>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</si>
  <si>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</si>
  <si>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</si>
  <si>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</si>
  <si>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</si>
  <si>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</si>
  <si>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</si>
  <si>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</si>
  <si>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</si>
  <si>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</si>
  <si>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</si>
  <si>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</si>
  <si>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</si>
  <si>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</si>
  <si>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</si>
  <si>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</si>
  <si>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</si>
  <si>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</si>
  <si>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</si>
  <si>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</si>
  <si>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</si>
  <si>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</si>
  <si>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</si>
  <si>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</si>
  <si>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</si>
  <si>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</si>
  <si>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</si>
  <si>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</si>
  <si>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</si>
  <si>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</si>
  <si>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</si>
  <si>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</si>
  <si>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</si>
  <si>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</si>
  <si>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</si>
  <si>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</si>
  <si>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</si>
  <si>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</si>
  <si>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</si>
  <si>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</si>
  <si>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</si>
  <si>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</si>
  <si>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</si>
  <si>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</si>
  <si>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</si>
  <si>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</si>
  <si>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</si>
  <si>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</si>
  <si>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</si>
  <si>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</si>
  <si>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</si>
  <si>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</si>
  <si>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</si>
  <si>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</si>
  <si>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</si>
  <si>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</si>
  <si>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</si>
  <si>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</si>
  <si>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</si>
  <si>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</si>
  <si>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</si>
  <si>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</si>
  <si>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</si>
  <si>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</si>
  <si>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</si>
  <si>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</si>
  <si>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</si>
  <si>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</si>
  <si>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</si>
  <si>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</si>
  <si>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</si>
  <si>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</si>
  <si>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</si>
  <si>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</si>
  <si>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</si>
  <si>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</si>
  <si>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</si>
  <si>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</si>
  <si>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</si>
  <si>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</si>
  <si>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</si>
  <si>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</si>
  <si>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</si>
  <si>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</si>
  <si>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</si>
  <si>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</si>
  <si>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</si>
  <si>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</si>
  <si>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</si>
  <si>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</si>
  <si>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</si>
  <si>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</si>
  <si>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</si>
  <si>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</si>
  <si>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</si>
  <si>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</si>
  <si>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</si>
  <si>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</si>
  <si>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</si>
  <si>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</si>
  <si>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</si>
  <si>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</si>
  <si>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</si>
  <si>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</si>
  <si>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</si>
  <si>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</si>
  <si>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</si>
  <si>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</si>
  <si>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</si>
  <si>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</si>
  <si>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</si>
  <si>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</si>
  <si>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</si>
  <si>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</si>
  <si>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</si>
  <si>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</si>
  <si>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</si>
  <si>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</si>
  <si>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</si>
  <si>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</si>
  <si>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</si>
  <si>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</si>
  <si>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</si>
  <si>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</si>
  <si>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</si>
  <si>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</si>
  <si>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</si>
  <si>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</si>
  <si>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</si>
  <si>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</si>
  <si>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</si>
  <si>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</si>
  <si>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</si>
  <si>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</si>
  <si>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</si>
  <si>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</si>
  <si>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</si>
  <si>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</si>
  <si>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</si>
  <si>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</si>
  <si>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</si>
  <si>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</si>
  <si>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</si>
  <si>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</si>
  <si>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</si>
  <si>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</si>
  <si>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</si>
  <si>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</si>
  <si>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</si>
  <si>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</si>
  <si>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</si>
  <si>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</si>
  <si>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</si>
  <si>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</si>
  <si>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</si>
  <si>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</si>
  <si>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</si>
  <si>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</si>
  <si>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</si>
  <si>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</si>
  <si>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</si>
  <si>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</si>
  <si>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</si>
  <si>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</si>
  <si>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</si>
  <si>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</si>
  <si>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</si>
  <si>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</si>
  <si>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</si>
  <si>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</si>
  <si>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</si>
  <si>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</si>
  <si>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</si>
  <si>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</si>
  <si>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</si>
  <si>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</si>
  <si>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</si>
  <si>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</si>
  <si>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</si>
  <si>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</si>
  <si>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</si>
  <si>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</si>
  <si>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</si>
  <si>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</si>
  <si>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</si>
  <si>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</si>
  <si>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</si>
  <si>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</si>
  <si>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</si>
  <si>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</si>
  <si>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</si>
  <si>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</si>
  <si>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</si>
  <si>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</si>
  <si>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</si>
  <si>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</si>
  <si>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</si>
  <si>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</si>
  <si>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</si>
  <si>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</si>
  <si>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</si>
  <si>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</si>
  <si>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</si>
  <si>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</si>
  <si>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</si>
  <si>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</si>
  <si>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</si>
  <si>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</si>
  <si>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</si>
  <si>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</si>
  <si>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</si>
  <si>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</si>
  <si>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</si>
  <si>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</si>
  <si>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</si>
  <si>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</si>
  <si>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</si>
  <si>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</si>
  <si>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</si>
  <si>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</si>
  <si>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</si>
  <si>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</si>
  <si>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</si>
  <si>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</si>
  <si>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</si>
  <si>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</si>
  <si>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</si>
  <si>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</si>
  <si>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</si>
  <si>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</si>
  <si>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</si>
  <si>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</si>
  <si>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</si>
  <si>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</si>
  <si>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</si>
  <si>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</si>
  <si>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</si>
  <si>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</si>
  <si>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</si>
  <si>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</si>
  <si>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</si>
  <si>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</si>
  <si>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</si>
  <si>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</si>
  <si>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</si>
  <si>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</si>
  <si>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</si>
  <si>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</si>
  <si>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</si>
  <si>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</si>
  <si>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</si>
  <si>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</si>
  <si>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</si>
  <si>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</si>
  <si>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</si>
  <si>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</si>
  <si>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</si>
  <si>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</si>
  <si>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</si>
  <si>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</si>
  <si>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</si>
  <si>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</si>
  <si>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</si>
  <si>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</si>
  <si>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</si>
  <si>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</si>
  <si>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</si>
  <si>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</si>
  <si>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</si>
  <si>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</si>
  <si>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</si>
  <si>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</si>
  <si>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</si>
  <si>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</si>
  <si>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</si>
  <si>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</si>
  <si>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</si>
  <si>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</si>
  <si>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</si>
  <si>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</si>
  <si>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</si>
  <si>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</si>
  <si>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</si>
  <si>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</si>
  <si>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</si>
  <si>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</si>
  <si>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</si>
  <si>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</si>
  <si>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</si>
  <si>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</si>
  <si>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</si>
  <si>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</si>
  <si>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</si>
  <si>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</si>
  <si>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</si>
  <si>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</si>
  <si>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</si>
  <si>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</si>
  <si>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</si>
  <si>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</si>
  <si>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</si>
  <si>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</si>
  <si>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</si>
  <si>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</si>
  <si>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</si>
  <si>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</si>
  <si>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</si>
  <si>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</si>
  <si>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</si>
  <si>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</si>
  <si>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</si>
  <si>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</si>
  <si>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</si>
  <si>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</si>
  <si>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</si>
  <si>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</si>
  <si>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</si>
  <si>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</si>
  <si>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</si>
  <si>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</si>
  <si>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</si>
  <si>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</si>
  <si>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</si>
  <si>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</si>
  <si>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</si>
  <si>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</si>
  <si>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</si>
  <si>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</si>
  <si>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</si>
  <si>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</si>
  <si>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</si>
  <si>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</si>
  <si>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</si>
  <si>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</si>
  <si>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</si>
  <si>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</si>
  <si>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</si>
  <si>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</si>
  <si>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</si>
  <si>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</si>
  <si>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</si>
  <si>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</si>
  <si>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</si>
  <si>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</si>
  <si>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</si>
  <si>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</si>
  <si>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</si>
  <si>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</si>
  <si>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</si>
  <si>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</si>
  <si>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</si>
  <si>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</si>
  <si>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</si>
  <si>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</si>
  <si>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</si>
  <si>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</si>
  <si>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</si>
  <si>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</si>
  <si>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</si>
  <si>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</si>
  <si>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</si>
  <si>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</si>
  <si>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</si>
  <si>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</si>
  <si>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</si>
  <si>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</si>
  <si>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</si>
  <si>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</si>
  <si>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</si>
  <si>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</si>
  <si>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</si>
  <si>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</si>
  <si>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</si>
  <si>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</si>
  <si>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</si>
  <si>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</si>
  <si>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</si>
  <si>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</si>
  <si>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</si>
  <si>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</si>
  <si>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</si>
  <si>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</si>
  <si>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</si>
  <si>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</si>
  <si>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</si>
  <si>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</si>
  <si>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</si>
  <si>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</si>
  <si>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</si>
  <si>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</si>
  <si>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</si>
  <si>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</si>
  <si>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</si>
  <si>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</si>
  <si>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</si>
  <si>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</si>
  <si>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</si>
  <si>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</si>
  <si>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</si>
  <si>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</si>
  <si>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</si>
  <si>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</si>
  <si>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</si>
  <si>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</si>
  <si>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</si>
  <si>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</si>
  <si>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</si>
  <si>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</si>
  <si>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</si>
  <si>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</si>
  <si>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</si>
  <si>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</si>
  <si>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</si>
  <si>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</si>
  <si>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</si>
  <si>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</si>
  <si>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</si>
  <si>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</si>
  <si>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</si>
  <si>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</si>
  <si>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</si>
  <si>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</si>
  <si>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</si>
  <si>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</si>
  <si>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</si>
  <si>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</si>
  <si>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</si>
  <si>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</si>
  <si>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</si>
  <si>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</si>
  <si>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</si>
  <si>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</si>
  <si>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</si>
  <si>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</si>
  <si>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</si>
  <si>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</si>
  <si>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</si>
  <si>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</si>
  <si>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</si>
  <si>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</si>
  <si>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</si>
  <si>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</si>
  <si>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</si>
  <si>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</si>
  <si>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</si>
  <si>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</si>
  <si>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</si>
  <si>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</si>
  <si>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</si>
  <si>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</si>
  <si>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</si>
  <si>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</si>
  <si>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</si>
  <si>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</si>
  <si>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</si>
  <si>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</si>
  <si>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</si>
  <si>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</si>
  <si>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</si>
  <si>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</si>
  <si>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</si>
  <si>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</si>
  <si>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</si>
  <si>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</si>
  <si>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</si>
  <si>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</si>
  <si>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</si>
  <si>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</si>
  <si>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</si>
  <si>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</si>
  <si>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</si>
  <si>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</si>
  <si>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</si>
  <si>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</si>
  <si>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</si>
  <si>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</si>
  <si>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</si>
  <si>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</si>
  <si>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</si>
  <si>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</si>
  <si>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</si>
  <si>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</si>
  <si>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</si>
  <si>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</si>
  <si>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</si>
  <si>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</si>
  <si>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</si>
  <si>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</si>
  <si>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</si>
  <si>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</si>
  <si>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</si>
  <si>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</si>
  <si>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</si>
  <si>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</si>
  <si>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</si>
  <si>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</si>
  <si>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</si>
  <si>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</si>
  <si>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</si>
  <si>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</si>
  <si>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</si>
  <si>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</si>
  <si>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</si>
  <si>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</si>
  <si>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</si>
  <si>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</si>
  <si>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</si>
  <si>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</si>
  <si>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</si>
  <si>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</si>
  <si>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</si>
  <si>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</si>
  <si>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</si>
  <si>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</si>
  <si>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</si>
  <si>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</si>
  <si>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</si>
  <si>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</si>
  <si>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</si>
  <si>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</si>
  <si>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</si>
  <si>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</si>
  <si>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</si>
  <si>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</si>
  <si>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</si>
  <si>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</si>
  <si>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</si>
  <si>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</si>
  <si>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</si>
  <si>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</si>
  <si>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</si>
  <si>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</si>
  <si>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</si>
  <si>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</si>
  <si>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</si>
  <si>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</si>
  <si>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</si>
  <si>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</si>
  <si>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</si>
  <si>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</si>
  <si>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</si>
  <si>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</si>
  <si>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</si>
  <si>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</si>
  <si>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</si>
  <si>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</si>
  <si>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</si>
  <si>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</si>
  <si>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</si>
  <si>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</si>
  <si>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</si>
  <si>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</si>
  <si>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</si>
  <si>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</si>
  <si>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</si>
  <si>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</si>
  <si>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</si>
  <si>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</si>
  <si>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</si>
  <si>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</si>
  <si>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</si>
  <si>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</si>
  <si>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</si>
  <si>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</si>
  <si>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</si>
  <si>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</si>
  <si>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</si>
  <si>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</si>
  <si>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</si>
  <si>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</si>
  <si>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</si>
  <si>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</si>
  <si>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</si>
  <si>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</si>
  <si>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</si>
  <si>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</si>
  <si>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</si>
  <si>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</si>
  <si>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</si>
  <si>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</si>
  <si>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</si>
  <si>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</si>
  <si>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</si>
  <si>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</si>
  <si>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</si>
  <si>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</si>
  <si>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</si>
  <si>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</si>
  <si>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</si>
  <si>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</si>
  <si>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</si>
  <si>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</si>
  <si>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</si>
  <si>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</si>
  <si>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</si>
  <si>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</si>
  <si>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</si>
  <si>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</si>
  <si>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</si>
  <si>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</si>
  <si>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</si>
  <si>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</si>
  <si>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</si>
  <si>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</si>
  <si>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</si>
  <si>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</si>
  <si>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</si>
  <si>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</si>
  <si>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</si>
  <si>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</si>
  <si>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</si>
  <si>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</si>
  <si>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</si>
  <si>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</si>
  <si>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</si>
  <si>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</si>
  <si>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</si>
  <si>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</si>
  <si>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</si>
  <si>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</si>
  <si>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</si>
  <si>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</si>
  <si>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</si>
  <si>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</si>
  <si>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</si>
  <si>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</si>
  <si>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</si>
  <si>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</si>
  <si>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</si>
  <si>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</si>
  <si>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</si>
  <si>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</si>
  <si>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</si>
  <si>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</si>
  <si>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</si>
  <si>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</si>
  <si>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</si>
  <si>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</si>
  <si>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</si>
  <si>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</si>
  <si>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</si>
  <si>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</si>
  <si>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</si>
  <si>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</si>
  <si>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</si>
  <si>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</si>
  <si>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</si>
  <si>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</si>
  <si>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</si>
  <si>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</si>
  <si>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</si>
  <si>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</si>
  <si>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</si>
  <si>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</si>
  <si>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</si>
  <si>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</si>
  <si>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</si>
  <si>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</si>
  <si>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</si>
  <si>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</si>
  <si>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</si>
  <si>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</si>
  <si>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</si>
  <si>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</si>
  <si>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</si>
  <si>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</si>
  <si>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</si>
  <si>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</si>
  <si>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</si>
  <si>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</si>
  <si>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</si>
  <si>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</si>
  <si>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</si>
  <si>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</si>
  <si>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</si>
  <si>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</si>
  <si>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</si>
  <si>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</si>
  <si>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</si>
  <si>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</si>
  <si>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</si>
  <si>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</si>
  <si>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</si>
  <si>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</si>
  <si>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</si>
  <si>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</si>
  <si>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</si>
  <si>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</si>
  <si>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</si>
  <si>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</si>
  <si>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</si>
  <si>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</si>
  <si>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</si>
  <si>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</si>
  <si>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</si>
  <si>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</si>
  <si>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</si>
  <si>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</si>
  <si>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</si>
  <si>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</si>
  <si>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</si>
  <si>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</si>
  <si>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</si>
  <si>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</si>
  <si>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</si>
  <si>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</si>
  <si>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</si>
  <si>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</si>
  <si>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</si>
  <si>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</si>
  <si>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</si>
  <si>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</si>
  <si>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</si>
  <si>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</si>
  <si>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</si>
  <si>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</si>
  <si>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</si>
  <si>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</si>
  <si>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</si>
  <si>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</si>
  <si>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</si>
  <si>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</si>
  <si>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</si>
  <si>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</si>
  <si>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</si>
  <si>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</si>
  <si>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</si>
  <si>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</si>
  <si>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</si>
  <si>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</si>
  <si>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</si>
  <si>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</si>
  <si>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</si>
  <si>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</si>
  <si>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</si>
  <si>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</si>
  <si>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</si>
  <si>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</si>
  <si>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</si>
  <si>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</si>
  <si>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</si>
  <si>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</si>
  <si>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</si>
  <si>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</si>
  <si>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</si>
  <si>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</si>
  <si>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</si>
  <si>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</si>
  <si>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</si>
  <si>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</si>
  <si>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</si>
  <si>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</si>
  <si>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</si>
  <si>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</si>
  <si>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</si>
  <si>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</si>
  <si>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</si>
  <si>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</si>
  <si>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</si>
  <si>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</si>
  <si>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</si>
  <si>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</si>
  <si>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</si>
  <si>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</si>
  <si>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</si>
  <si>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</si>
  <si>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</si>
  <si>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</si>
  <si>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</si>
  <si>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</si>
  <si>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</si>
  <si>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</si>
  <si>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</si>
  <si>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</si>
  <si>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</si>
  <si>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</si>
  <si>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</si>
  <si>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</si>
  <si>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</si>
  <si>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</si>
  <si>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</si>
  <si>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</si>
  <si>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</si>
  <si>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</si>
  <si>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</si>
  <si>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</si>
  <si>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</si>
  <si>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</si>
  <si>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</si>
  <si>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</si>
  <si>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</si>
  <si>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</si>
  <si>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</si>
  <si>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</si>
  <si>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</si>
  <si>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</si>
  <si>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</si>
  <si>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</si>
  <si>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</si>
  <si>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</si>
  <si>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</si>
  <si>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</si>
  <si>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</si>
  <si>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</si>
  <si>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</si>
  <si>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</si>
  <si>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</si>
  <si>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</si>
  <si>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</si>
  <si>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</si>
  <si>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</si>
  <si>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</si>
  <si>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</si>
  <si>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</si>
  <si>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</si>
  <si>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</si>
  <si>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</si>
  <si>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</si>
  <si>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</si>
  <si>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</si>
  <si>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</si>
  <si>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</si>
  <si>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</si>
  <si>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</si>
  <si>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</si>
  <si>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</si>
  <si>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</si>
  <si>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</si>
  <si>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</si>
  <si>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</si>
  <si>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</si>
  <si>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</si>
  <si>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</si>
  <si>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</si>
  <si>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</si>
  <si>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</si>
  <si>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</si>
  <si>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</si>
  <si>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</si>
  <si>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</si>
  <si>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</si>
  <si>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</si>
  <si>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</si>
  <si>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</si>
  <si>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</si>
  <si>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</si>
  <si>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</si>
  <si>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</si>
  <si>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</si>
  <si>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</si>
  <si>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</si>
  <si>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</si>
  <si>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</si>
  <si>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</si>
  <si>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</si>
  <si>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</si>
  <si>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</si>
  <si>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</si>
  <si>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</si>
  <si>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</si>
  <si>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</si>
  <si>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</si>
  <si>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</si>
  <si>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</si>
  <si>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</si>
  <si>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</si>
  <si>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</si>
  <si>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</si>
  <si>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</si>
  <si>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</si>
  <si>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</si>
  <si>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</si>
  <si>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</si>
  <si>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</si>
  <si>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</si>
  <si>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</si>
  <si>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</si>
  <si>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</si>
  <si>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</si>
  <si>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</si>
  <si>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</si>
  <si>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</si>
  <si>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</si>
  <si>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</si>
  <si>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</si>
  <si>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</si>
  <si>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</si>
  <si>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</si>
  <si>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</si>
  <si>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</si>
  <si>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</si>
  <si>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</si>
  <si>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</si>
  <si>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</si>
  <si>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</si>
  <si>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</si>
  <si>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</si>
  <si>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</si>
  <si>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</si>
  <si>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</si>
  <si>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</si>
  <si>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</si>
  <si>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</si>
  <si>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</si>
  <si>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</si>
  <si>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</si>
  <si>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</si>
  <si>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</si>
  <si>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</si>
  <si>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</si>
  <si>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</si>
  <si>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</si>
  <si>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</si>
  <si>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</si>
  <si>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</si>
  <si>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</si>
  <si>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</si>
  <si>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</si>
  <si>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</si>
  <si>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</si>
  <si>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</si>
  <si>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</si>
  <si>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</si>
  <si>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</si>
  <si>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</si>
  <si>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</si>
  <si>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</si>
  <si>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</si>
  <si>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</si>
  <si>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</si>
  <si>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</si>
  <si>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</si>
  <si>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</si>
  <si>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</si>
  <si>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</si>
  <si>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</si>
  <si>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</si>
  <si>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</si>
  <si>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</si>
  <si>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</si>
  <si>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</si>
  <si>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</si>
  <si>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</si>
  <si>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</si>
  <si>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</si>
  <si>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</si>
  <si>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</si>
  <si>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</si>
  <si>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</si>
  <si>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</si>
  <si>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</si>
  <si>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</si>
  <si>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</si>
  <si>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</si>
  <si>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</si>
  <si>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</si>
  <si>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</si>
  <si>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</si>
  <si>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</si>
  <si>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</si>
  <si>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</si>
  <si>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</si>
  <si>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</si>
  <si>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</si>
  <si>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</si>
  <si>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</si>
  <si>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</si>
  <si>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</si>
  <si>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</si>
  <si>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</si>
  <si>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</si>
  <si>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</si>
  <si>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</si>
  <si>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</si>
  <si>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</si>
  <si>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</si>
  <si>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</si>
  <si>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</si>
  <si>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</si>
  <si>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</si>
  <si>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</si>
  <si>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</si>
  <si>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</si>
  <si>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</si>
  <si>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</si>
  <si>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</si>
  <si>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</si>
  <si>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</si>
  <si>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</si>
  <si>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</si>
  <si>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</si>
  <si>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</si>
  <si>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</si>
  <si>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</si>
  <si>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</si>
  <si>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</si>
  <si>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</si>
  <si>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</si>
  <si>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</si>
  <si>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</si>
  <si>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</si>
  <si>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</si>
  <si>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</si>
  <si>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</si>
  <si>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</si>
  <si>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</si>
  <si>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</si>
  <si>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</si>
  <si>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</si>
  <si>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</si>
  <si>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</si>
  <si>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</si>
  <si>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</si>
  <si>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</si>
  <si>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</si>
  <si>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</si>
  <si>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</si>
  <si>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</si>
  <si>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</si>
  <si>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</si>
  <si>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</si>
  <si>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</si>
  <si>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</si>
  <si>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</si>
  <si>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</si>
  <si>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</si>
  <si>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</si>
  <si>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</si>
  <si>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</si>
  <si>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</si>
  <si>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</si>
  <si>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</si>
  <si>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</si>
  <si>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</si>
  <si>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</si>
  <si>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</si>
  <si>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</si>
  <si>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</si>
  <si>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</si>
  <si>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</si>
  <si>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</si>
  <si>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</si>
  <si>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</si>
  <si>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</si>
  <si>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</si>
  <si>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</si>
  <si>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</si>
  <si>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</si>
  <si>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</si>
  <si>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</si>
  <si>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</si>
  <si>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</si>
  <si>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</si>
  <si>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</si>
  <si>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</si>
  <si>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</si>
  <si>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</si>
  <si>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</si>
  <si>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</si>
  <si>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</si>
  <si>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</si>
  <si>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</si>
  <si>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</si>
  <si>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</si>
  <si>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</si>
  <si>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</si>
  <si>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</si>
  <si>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</si>
  <si>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</si>
  <si>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</si>
  <si>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</si>
  <si>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</si>
  <si>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</si>
  <si>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</si>
  <si>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</si>
  <si>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</si>
  <si>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</si>
  <si>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</si>
  <si>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</si>
  <si>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</si>
  <si>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</si>
  <si>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</si>
  <si>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</si>
  <si>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</si>
  <si>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</si>
  <si>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</si>
  <si>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</si>
  <si>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</si>
  <si>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</si>
  <si>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</si>
  <si>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</si>
  <si>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</si>
  <si>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</si>
  <si>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</si>
  <si>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</si>
  <si>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</si>
  <si>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</si>
  <si>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</si>
  <si>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</si>
  <si>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</si>
  <si>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</si>
  <si>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</si>
  <si>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</si>
  <si>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</si>
  <si>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</si>
  <si>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</si>
  <si>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</si>
  <si>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</si>
  <si>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</si>
  <si>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</si>
  <si>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</si>
  <si>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</si>
  <si>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</si>
  <si>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</si>
  <si>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</si>
  <si>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</si>
  <si>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</si>
  <si>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</si>
  <si>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</si>
  <si>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</si>
  <si>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</si>
  <si>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</si>
  <si>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</si>
  <si>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</si>
  <si>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</si>
  <si>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</si>
  <si>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</si>
  <si>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</si>
  <si>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</si>
  <si>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</si>
  <si>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</si>
  <si>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</si>
  <si>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</si>
  <si>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</si>
  <si>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</si>
  <si>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</si>
  <si>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</si>
  <si>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</si>
  <si>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</si>
  <si>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</si>
  <si>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</si>
  <si>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</si>
  <si>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</si>
  <si>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</si>
  <si>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</si>
  <si>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</si>
  <si>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</si>
  <si>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</si>
  <si>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</si>
  <si>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</si>
  <si>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</si>
  <si>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</si>
  <si>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</si>
  <si>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</si>
  <si>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</si>
  <si>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</si>
  <si>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</si>
  <si>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</si>
  <si>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</si>
  <si>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</si>
  <si>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</si>
  <si>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</si>
  <si>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</si>
  <si>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</si>
  <si>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</si>
  <si>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</si>
  <si>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</si>
  <si>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</si>
  <si>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</si>
  <si>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</si>
  <si>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</si>
  <si>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</si>
  <si>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</si>
  <si>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</si>
  <si>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</si>
  <si>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</si>
  <si>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</si>
  <si>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</si>
  <si>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</si>
  <si>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</si>
  <si>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</si>
  <si>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</si>
  <si>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</si>
  <si>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</si>
  <si>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</si>
  <si>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</si>
  <si>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</si>
  <si>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</si>
  <si>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</si>
  <si>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</si>
  <si>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</si>
  <si>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</si>
  <si>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</si>
  <si>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</si>
  <si>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</si>
  <si>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</si>
  <si>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</si>
  <si>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</si>
  <si>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</si>
  <si>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</si>
  <si>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</si>
  <si>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</si>
  <si>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</si>
  <si>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</si>
  <si>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</si>
  <si>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</si>
  <si>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</si>
  <si>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</si>
  <si>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</si>
  <si>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</si>
  <si>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</si>
  <si>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</si>
  <si>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</si>
  <si>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</si>
  <si>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</si>
  <si>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</si>
  <si>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</si>
  <si>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</si>
  <si>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</si>
  <si>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</si>
  <si>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</si>
  <si>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</si>
  <si>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</si>
  <si>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</si>
  <si>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</si>
  <si>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</si>
  <si>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</si>
  <si>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</si>
  <si>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</si>
  <si>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</si>
  <si>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</si>
  <si>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</si>
  <si>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</si>
  <si>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</si>
  <si>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</si>
  <si>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</si>
  <si>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</si>
  <si>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</si>
  <si>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</si>
  <si>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</si>
  <si>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</si>
  <si>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</si>
  <si>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</si>
  <si>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</si>
  <si>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</si>
  <si>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</si>
  <si>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</si>
  <si>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</si>
  <si>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</si>
  <si>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</si>
  <si>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</si>
  <si>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</si>
  <si>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</si>
  <si>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</si>
  <si>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</si>
  <si>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</si>
  <si>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</si>
  <si>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</si>
  <si>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</si>
  <si>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</si>
  <si>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</si>
  <si>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</si>
  <si>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</si>
  <si>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</si>
  <si>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</si>
  <si>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</si>
  <si>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</si>
  <si>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</si>
  <si>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</si>
  <si>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</si>
  <si>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</si>
  <si>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</si>
  <si>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</si>
  <si>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</si>
  <si>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</si>
  <si>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</si>
  <si>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</si>
  <si>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</si>
  <si>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</si>
  <si>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</si>
  <si>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</si>
  <si>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</si>
  <si>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</si>
  <si>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</si>
  <si>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</si>
  <si>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</si>
  <si>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</si>
  <si>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</si>
  <si>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</si>
  <si>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</si>
  <si>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</si>
  <si>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</si>
  <si>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</si>
  <si>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</si>
  <si>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</si>
  <si>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</si>
  <si>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</si>
  <si>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</si>
  <si>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</si>
  <si>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</si>
  <si>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</si>
  <si>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</si>
  <si>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</si>
  <si>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</si>
  <si>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</si>
  <si>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</si>
  <si>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</si>
  <si>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</si>
  <si>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</si>
  <si>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</si>
  <si>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</si>
  <si>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</si>
  <si>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</si>
  <si>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</si>
  <si>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</si>
  <si>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</si>
  <si>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</si>
  <si>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</si>
  <si>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</si>
  <si>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</si>
  <si>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</si>
  <si>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</si>
  <si>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</si>
  <si>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</si>
  <si>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</si>
  <si>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</si>
  <si>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</si>
  <si>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</si>
  <si>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</si>
  <si>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</si>
  <si>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</si>
  <si>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</si>
  <si>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</si>
  <si>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</si>
  <si>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</si>
  <si>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</si>
  <si>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</si>
  <si>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</si>
  <si>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</si>
  <si>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</si>
  <si>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</si>
  <si>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</si>
  <si>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</si>
  <si>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</si>
  <si>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</si>
  <si>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</si>
  <si>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</si>
  <si>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</si>
  <si>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</si>
  <si>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</si>
  <si>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</si>
  <si>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</si>
  <si>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</si>
  <si>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</si>
  <si>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</si>
  <si>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</si>
  <si>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</si>
  <si>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</si>
  <si>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</si>
  <si>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</si>
  <si>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</si>
  <si>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</si>
  <si>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</si>
  <si>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</si>
  <si>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</si>
  <si>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</si>
  <si>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</si>
  <si>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</si>
  <si>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</si>
  <si>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</si>
  <si>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</si>
  <si>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</si>
  <si>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</si>
  <si>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</si>
  <si>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</si>
  <si>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</si>
  <si>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</si>
  <si>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</si>
  <si>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</si>
  <si>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</si>
  <si>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</si>
  <si>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</si>
  <si>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</si>
  <si>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</si>
  <si>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</si>
  <si>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</si>
  <si>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</si>
  <si>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</si>
  <si>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</si>
  <si>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</si>
  <si>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</si>
  <si>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</si>
  <si>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</si>
  <si>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</si>
  <si>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</si>
  <si>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</si>
  <si>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</si>
  <si>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</si>
  <si>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</si>
  <si>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</si>
  <si>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</si>
  <si>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</si>
  <si>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</si>
  <si>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</si>
  <si>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</si>
  <si>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</si>
  <si>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</si>
  <si>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</si>
  <si>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</si>
  <si>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</si>
  <si>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</si>
  <si>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</si>
  <si>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</si>
  <si>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</si>
  <si>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</si>
  <si>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</si>
  <si>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</si>
  <si>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</si>
  <si>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</si>
  <si>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</si>
  <si>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</si>
  <si>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</si>
  <si>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</si>
  <si>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</si>
  <si>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</si>
  <si>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</si>
  <si>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</si>
  <si>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</si>
  <si>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</si>
  <si>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</si>
  <si>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</si>
  <si>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</si>
  <si>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</si>
  <si>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</si>
  <si>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</si>
  <si>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</si>
  <si>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</si>
  <si>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</si>
  <si>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</si>
  <si>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</si>
  <si>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</si>
  <si>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</si>
  <si>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</si>
  <si>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</si>
  <si>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</si>
  <si>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</si>
  <si>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</si>
  <si>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</si>
  <si>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</si>
  <si>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</si>
  <si>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</si>
  <si>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</si>
  <si>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</si>
  <si>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</si>
  <si>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</si>
  <si>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</si>
  <si>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</si>
  <si>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</si>
  <si>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</si>
  <si>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</si>
  <si>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</si>
  <si>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</si>
  <si>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</si>
  <si>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</si>
  <si>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</si>
  <si>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</si>
  <si>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</si>
  <si>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</si>
  <si>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</si>
  <si>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</si>
  <si>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</si>
  <si>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</si>
  <si>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</si>
  <si>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</si>
  <si>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</si>
  <si>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</si>
  <si>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</si>
  <si>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</si>
  <si>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</si>
  <si>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</si>
  <si>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</si>
  <si>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</si>
  <si>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</si>
  <si>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</si>
  <si>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</si>
  <si>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</si>
  <si>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</si>
  <si>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</si>
  <si>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</si>
  <si>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</si>
  <si>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</si>
  <si>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</si>
  <si>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</si>
  <si>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</si>
  <si>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</si>
  <si>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</si>
  <si>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</si>
  <si>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</si>
  <si>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</si>
  <si>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</si>
  <si>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</si>
  <si>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</si>
  <si>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</si>
  <si>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</si>
  <si>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</si>
  <si>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</si>
  <si>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</si>
  <si>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</si>
  <si>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</si>
  <si>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</si>
  <si>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</si>
  <si>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</si>
  <si>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</si>
  <si>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</si>
  <si>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</si>
  <si>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</si>
  <si>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</si>
  <si>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</si>
  <si>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</si>
  <si>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</si>
  <si>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</si>
  <si>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</si>
  <si>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</si>
  <si>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</si>
  <si>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</si>
  <si>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</si>
  <si>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</si>
  <si>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</si>
  <si>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</si>
  <si>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</si>
  <si>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</si>
  <si>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</si>
  <si>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</si>
  <si>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</si>
  <si>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</si>
  <si>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</si>
  <si>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</si>
  <si>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</si>
  <si>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</si>
  <si>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</si>
  <si>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</si>
  <si>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</si>
  <si>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</si>
  <si>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</si>
  <si>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</si>
  <si>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</si>
  <si>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</si>
  <si>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</si>
  <si>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</si>
  <si>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</si>
  <si>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</si>
  <si>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</si>
  <si>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</si>
  <si>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</si>
  <si>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</si>
  <si>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</si>
  <si>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</si>
  <si>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</si>
  <si>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</si>
  <si>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</si>
  <si>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</si>
  <si>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</si>
  <si>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</si>
  <si>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</si>
  <si>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</si>
  <si>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</si>
  <si>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</si>
  <si>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</si>
  <si>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</si>
  <si>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</si>
  <si>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</si>
  <si>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</si>
  <si>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</si>
  <si>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</si>
  <si>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</si>
  <si>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</si>
  <si>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</si>
  <si>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</si>
  <si>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</si>
  <si>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</si>
  <si>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</si>
  <si>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</si>
  <si>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</si>
  <si>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</si>
  <si>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</si>
  <si>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</si>
  <si>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</si>
  <si>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</si>
  <si>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</si>
  <si>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</si>
  <si>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</si>
  <si>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</si>
  <si>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</si>
  <si>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</si>
  <si>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</si>
  <si>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</si>
  <si>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</si>
  <si>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</si>
  <si>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</si>
  <si>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</si>
  <si>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</si>
  <si>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</si>
  <si>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</si>
  <si>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</si>
  <si>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</si>
  <si>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</si>
  <si>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</si>
  <si>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</si>
  <si>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</si>
  <si>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</si>
  <si>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</si>
  <si>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</si>
  <si>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</si>
  <si>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</si>
  <si>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</si>
  <si>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</si>
  <si>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</si>
  <si>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</si>
  <si>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</si>
  <si>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</si>
  <si>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</si>
  <si>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</si>
  <si>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</si>
  <si>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</si>
  <si>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</si>
  <si>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</si>
  <si>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</si>
  <si>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</si>
  <si>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</si>
  <si>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</si>
  <si>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</si>
  <si>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</si>
  <si>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</si>
  <si>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</si>
  <si>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</si>
  <si>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</si>
  <si>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</si>
  <si>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</si>
  <si>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</si>
  <si>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</si>
  <si>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</si>
  <si>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</si>
  <si>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</si>
  <si>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</si>
  <si>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</si>
  <si>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</si>
  <si>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</si>
  <si>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</si>
  <si>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</si>
  <si>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</si>
  <si>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</si>
  <si>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</si>
  <si>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</si>
  <si>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</si>
  <si>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</si>
  <si>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</si>
  <si>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</si>
  <si>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</si>
  <si>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</si>
  <si>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</si>
  <si>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</si>
  <si>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</si>
  <si>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</si>
  <si>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</si>
  <si>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</si>
  <si>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</si>
  <si>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</si>
  <si>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</si>
  <si>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</si>
  <si>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</si>
  <si>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</si>
  <si>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</si>
  <si>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</si>
  <si>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</si>
  <si>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</si>
  <si>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</si>
  <si>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</si>
  <si>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</si>
  <si>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</si>
  <si>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</si>
  <si>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</si>
  <si>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</si>
  <si>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</si>
  <si>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</si>
  <si>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</si>
  <si>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</si>
  <si>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</si>
  <si>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</si>
  <si>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</si>
  <si>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</si>
  <si>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</si>
  <si>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</si>
  <si>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</si>
  <si>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</si>
  <si>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</si>
  <si>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</si>
  <si>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</si>
  <si>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</si>
  <si>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</si>
  <si>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</si>
  <si>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</si>
  <si>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</si>
  <si>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</si>
  <si>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</si>
  <si>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</si>
  <si>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</si>
  <si>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</si>
  <si>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</si>
  <si>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</si>
  <si>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</si>
  <si>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</si>
  <si>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</si>
  <si>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</si>
  <si>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</si>
  <si>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</si>
  <si>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</si>
  <si>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</si>
  <si>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</si>
  <si>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</si>
  <si>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</si>
  <si>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</si>
  <si>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</si>
  <si>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</si>
  <si>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</si>
  <si>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</si>
  <si>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</si>
  <si>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</si>
  <si>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</si>
  <si>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</si>
  <si>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</si>
  <si>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</si>
  <si>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</si>
  <si>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</si>
  <si>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</si>
  <si>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</si>
  <si>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</si>
  <si>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</si>
  <si>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</si>
  <si>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</si>
  <si>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</si>
  <si>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</si>
  <si>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</si>
  <si>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</si>
  <si>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</si>
  <si>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</si>
  <si>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</si>
  <si>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</si>
  <si>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</si>
  <si>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</si>
  <si>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</si>
  <si>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</si>
  <si>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</si>
  <si>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</si>
  <si>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</si>
  <si>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</si>
  <si>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</si>
  <si>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</si>
  <si>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</si>
  <si>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</si>
  <si>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</si>
  <si>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</si>
  <si>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</si>
  <si>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</si>
  <si>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</si>
  <si>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</si>
  <si>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</si>
  <si>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</si>
  <si>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</si>
  <si>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</si>
  <si>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</si>
  <si>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</si>
  <si>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</si>
  <si>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</si>
  <si>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</si>
  <si>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</si>
  <si>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</si>
  <si>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</si>
  <si>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</si>
  <si>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</si>
  <si>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</si>
  <si>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</si>
  <si>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</si>
  <si>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</si>
  <si>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</si>
  <si>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</si>
  <si>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</si>
  <si>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</si>
  <si>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</si>
  <si>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</si>
  <si>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</si>
  <si>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</si>
  <si>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</si>
  <si>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</si>
  <si>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</si>
  <si>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</si>
  <si>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</si>
  <si>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</si>
  <si>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</si>
  <si>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</si>
  <si>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</si>
  <si>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</si>
  <si>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</si>
  <si>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</si>
  <si>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</si>
  <si>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</si>
  <si>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</si>
  <si>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</si>
  <si>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</si>
  <si>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</si>
  <si>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</si>
  <si>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</si>
  <si>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</si>
  <si>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</si>
  <si>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</si>
  <si>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</si>
  <si>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</si>
  <si>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</si>
  <si>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</si>
  <si>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</si>
  <si>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</si>
  <si>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</si>
  <si>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</si>
  <si>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</si>
  <si>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</si>
  <si>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</si>
  <si>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</si>
  <si>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</si>
  <si>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</si>
  <si>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</si>
  <si>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</si>
  <si>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</si>
  <si>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</si>
  <si>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</si>
  <si>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</si>
  <si>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</si>
  <si>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</si>
  <si>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</si>
  <si>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</si>
  <si>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</si>
  <si>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</si>
  <si>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</si>
  <si>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</si>
  <si>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</si>
  <si>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</si>
  <si>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</si>
  <si>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</si>
  <si>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</si>
  <si>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</si>
  <si>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</si>
  <si>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</si>
  <si>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</si>
  <si>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</si>
  <si>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</si>
  <si>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</si>
  <si>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</si>
  <si>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</si>
  <si>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</si>
  <si>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</si>
  <si>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</si>
  <si>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</si>
  <si>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</si>
  <si>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</si>
  <si>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</si>
  <si>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</si>
  <si>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</si>
  <si>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</si>
  <si>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</si>
  <si>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</si>
  <si>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</si>
  <si>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</si>
  <si>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</si>
  <si>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</si>
  <si>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</si>
  <si>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</si>
  <si>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</si>
  <si>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</si>
  <si>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</si>
  <si>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</si>
  <si>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</si>
  <si>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</si>
  <si>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</si>
  <si>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</si>
  <si>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</si>
  <si>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</si>
  <si>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</si>
  <si>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</si>
  <si>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</si>
  <si>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</si>
  <si>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</si>
  <si>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</si>
  <si>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</si>
  <si>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</si>
  <si>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</si>
  <si>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</si>
  <si>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</si>
  <si>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</si>
  <si>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</si>
  <si>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</si>
  <si>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</si>
  <si>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</si>
  <si>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</si>
  <si>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</si>
  <si>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</si>
  <si>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</si>
  <si>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</si>
  <si>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</si>
  <si>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</si>
  <si>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</si>
  <si>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</si>
  <si>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</si>
  <si>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</si>
  <si>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</si>
  <si>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</si>
  <si>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</si>
  <si>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</si>
  <si>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</si>
  <si>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</si>
  <si>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</si>
  <si>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</si>
  <si>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</si>
  <si>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</si>
  <si>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</si>
  <si>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</si>
  <si>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</si>
  <si>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</si>
  <si>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</si>
  <si>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</si>
  <si>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</si>
  <si>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</si>
  <si>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</si>
  <si>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</si>
  <si>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</si>
  <si>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</si>
  <si>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</si>
  <si>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</si>
  <si>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</si>
  <si>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</si>
  <si>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</si>
  <si>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</si>
  <si>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</si>
  <si>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</si>
  <si>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</si>
  <si>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</si>
  <si>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</si>
  <si>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</si>
  <si>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</si>
  <si>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</si>
  <si>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</si>
  <si>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</si>
  <si>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</si>
  <si>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</si>
  <si>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</si>
  <si>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</si>
  <si>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</si>
  <si>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</si>
  <si>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</si>
  <si>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</si>
  <si>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</si>
  <si>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</si>
  <si>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</si>
  <si>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</si>
  <si>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</si>
  <si>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</si>
  <si>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</si>
  <si>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</si>
  <si>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</si>
  <si>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</si>
  <si>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</si>
  <si>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</si>
  <si>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</si>
  <si>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</si>
  <si>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</si>
  <si>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</si>
  <si>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</si>
  <si>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</si>
  <si>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</si>
  <si>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</si>
  <si>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</si>
  <si>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</si>
  <si>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</si>
  <si>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</si>
  <si>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</si>
  <si>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</si>
  <si>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</si>
  <si>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</si>
  <si>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</si>
  <si>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</si>
  <si>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</si>
  <si>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</si>
  <si>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</si>
  <si>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</si>
  <si>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</si>
  <si>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</si>
  <si>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</si>
  <si>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</si>
  <si>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</si>
  <si>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</si>
  <si>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</si>
  <si>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</si>
  <si>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</si>
  <si>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</si>
  <si>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</si>
  <si>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</si>
  <si>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</si>
  <si>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</si>
  <si>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</si>
  <si>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</si>
  <si>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</si>
  <si>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</si>
  <si>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</si>
  <si>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</si>
  <si>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</si>
  <si>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</si>
  <si>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</si>
  <si>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</si>
  <si>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</si>
  <si>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</si>
  <si>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</si>
  <si>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</si>
  <si>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</si>
  <si>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</si>
  <si>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</si>
  <si>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</si>
  <si>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</si>
  <si>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</si>
  <si>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</si>
  <si>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</si>
  <si>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</si>
  <si>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</si>
  <si>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</si>
  <si>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</si>
  <si>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</si>
  <si>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</si>
  <si>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</si>
  <si>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</si>
  <si>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</si>
  <si>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</si>
  <si>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</si>
  <si>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</si>
  <si>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</si>
  <si>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</si>
  <si>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</si>
  <si>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</si>
  <si>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</si>
  <si>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</si>
  <si>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</si>
  <si>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</si>
  <si>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</si>
  <si>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</si>
  <si>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</si>
  <si>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</si>
  <si>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</si>
  <si>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</si>
  <si>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</si>
  <si>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</si>
  <si>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</si>
  <si>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</si>
  <si>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</si>
  <si>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</si>
  <si>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</si>
  <si>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</si>
  <si>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</si>
  <si>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</si>
  <si>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</si>
  <si>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</si>
  <si>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</si>
  <si>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</si>
  <si>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</si>
  <si>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</si>
  <si>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</si>
  <si>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</si>
  <si>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</si>
  <si>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</si>
  <si>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</si>
  <si>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</si>
  <si>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</si>
  <si>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</si>
  <si>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</si>
  <si>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</si>
  <si>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</si>
  <si>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</si>
  <si>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</si>
  <si>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</si>
  <si>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</si>
  <si>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</si>
  <si>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</si>
  <si>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</si>
  <si>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</si>
  <si>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</si>
  <si>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</si>
  <si>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</si>
  <si>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</si>
  <si>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</si>
  <si>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</si>
  <si>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</si>
  <si>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</si>
  <si>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</si>
  <si>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</si>
  <si>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</si>
  <si>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</si>
  <si>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</si>
  <si>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</si>
  <si>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</si>
  <si>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</si>
  <si>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</si>
  <si>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</si>
  <si>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</si>
  <si>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</si>
  <si>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</si>
  <si>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</si>
  <si>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</si>
  <si>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</si>
  <si>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</si>
  <si>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</si>
  <si>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</si>
  <si>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</si>
  <si>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</si>
  <si>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</si>
  <si>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</si>
  <si>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</si>
  <si>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</si>
  <si>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</si>
  <si>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</si>
  <si>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</si>
  <si>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</si>
  <si>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</si>
  <si>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</si>
  <si>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</si>
  <si>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</si>
  <si>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</si>
  <si>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</si>
  <si>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</si>
  <si>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</si>
  <si>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</si>
  <si>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</si>
  <si>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</si>
  <si>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</si>
  <si>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</si>
  <si>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</si>
  <si>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</si>
  <si>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</si>
  <si>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</si>
  <si>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</si>
  <si>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</si>
  <si>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</si>
  <si>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</si>
  <si>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</si>
  <si>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</si>
  <si>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</si>
  <si>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</si>
  <si>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</si>
  <si>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</si>
  <si>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</si>
  <si>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</si>
  <si>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</si>
  <si>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</si>
  <si>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</si>
  <si>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</si>
  <si>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</si>
  <si>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</si>
  <si>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</si>
  <si>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</si>
  <si>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</si>
  <si>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</si>
  <si>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</si>
  <si>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</si>
  <si>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</si>
  <si>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</si>
  <si>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</si>
  <si>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</si>
  <si>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</si>
  <si>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</si>
  <si>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</si>
  <si>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</si>
  <si>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</si>
  <si>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</si>
  <si>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</si>
  <si>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</si>
  <si>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</si>
  <si>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</si>
  <si>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</si>
  <si>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</si>
  <si>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</si>
  <si>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</si>
  <si>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</si>
  <si>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</si>
  <si>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</si>
  <si>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</si>
  <si>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</si>
  <si>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</si>
  <si>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</si>
  <si>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</si>
  <si>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</si>
  <si>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</si>
  <si>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</si>
  <si>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</si>
  <si>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</si>
  <si>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</si>
  <si>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</si>
  <si>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</si>
  <si>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</si>
  <si>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</si>
  <si>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</si>
  <si>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</si>
  <si>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</si>
  <si>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</si>
  <si>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</si>
  <si>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</si>
  <si>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</si>
  <si>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</si>
  <si>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</si>
  <si>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</si>
  <si>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</si>
  <si>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</si>
  <si>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</si>
  <si>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</si>
  <si>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</si>
  <si>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</si>
  <si>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</si>
  <si>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</si>
  <si>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</si>
  <si>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</si>
  <si>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</si>
  <si>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</si>
  <si>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</si>
  <si>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</si>
  <si>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</si>
  <si>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</si>
  <si>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</si>
  <si>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</si>
  <si>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</si>
  <si>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</si>
  <si>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</si>
  <si>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</si>
  <si>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</si>
  <si>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</si>
  <si>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</si>
  <si>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</si>
  <si>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</si>
  <si>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</si>
  <si>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</si>
  <si>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</si>
  <si>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</si>
  <si>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</si>
  <si>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</si>
  <si>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</si>
  <si>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</si>
  <si>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</si>
  <si>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</si>
  <si>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</si>
  <si>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</si>
  <si>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</si>
  <si>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</si>
  <si>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</si>
  <si>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</si>
  <si>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</si>
  <si>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</si>
  <si>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</si>
  <si>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</si>
  <si>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</si>
  <si>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</si>
  <si>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</si>
  <si>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</si>
  <si>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</si>
  <si>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</si>
  <si>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</si>
  <si>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</si>
  <si>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</si>
  <si>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</si>
  <si>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</si>
  <si>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</si>
  <si>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</si>
  <si>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</si>
  <si>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</si>
  <si>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</si>
  <si>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</si>
  <si>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</si>
  <si>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</si>
  <si>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</si>
  <si>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</si>
  <si>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</si>
  <si>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</si>
  <si>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</si>
  <si>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</si>
  <si>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</si>
  <si>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</si>
  <si>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</si>
  <si>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</si>
  <si>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</si>
  <si>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</si>
  <si>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</si>
  <si>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</si>
  <si>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</si>
  <si>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</si>
  <si>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</si>
  <si>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</si>
  <si>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</si>
  <si>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</si>
  <si>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</si>
  <si>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</si>
  <si>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</si>
  <si>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</si>
  <si>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</si>
  <si>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</si>
  <si>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</si>
  <si>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</si>
  <si>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</si>
  <si>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</si>
  <si>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</si>
  <si>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</si>
  <si>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</si>
  <si>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</si>
  <si>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</si>
  <si>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</si>
  <si>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</si>
  <si>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</si>
  <si>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</si>
  <si>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</si>
  <si>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</si>
  <si>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</si>
  <si>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</si>
  <si>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</si>
  <si>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</si>
  <si>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</si>
  <si>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</si>
  <si>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</si>
  <si>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</si>
  <si>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</si>
  <si>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</si>
  <si>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</si>
  <si>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</si>
  <si>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</si>
  <si>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</si>
  <si>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</si>
  <si>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</si>
  <si>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</si>
  <si>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</si>
  <si>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</si>
  <si>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</si>
  <si>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</si>
  <si>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</si>
  <si>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</si>
  <si>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</si>
  <si>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</si>
  <si>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</si>
  <si>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</si>
  <si>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</si>
  <si>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</si>
  <si>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</si>
  <si>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</si>
  <si>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</si>
  <si>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</si>
  <si>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</si>
  <si>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</si>
  <si>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</si>
  <si>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</si>
  <si>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</si>
  <si>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</si>
  <si>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</si>
  <si>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</si>
  <si>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</si>
  <si>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</si>
  <si>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</si>
  <si>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</si>
  <si>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</si>
  <si>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</si>
  <si>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</si>
  <si>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</si>
  <si>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</si>
  <si>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</si>
  <si>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</si>
  <si>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</si>
  <si>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</si>
  <si>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</si>
  <si>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</si>
  <si>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</si>
  <si>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</si>
  <si>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</si>
  <si>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</si>
  <si>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</si>
  <si>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</si>
  <si>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</si>
  <si>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</si>
  <si>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</si>
  <si>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</si>
  <si>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</si>
  <si>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</si>
  <si>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</si>
  <si>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</si>
  <si>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</si>
  <si>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</si>
  <si>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</si>
  <si>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</si>
  <si>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</si>
  <si>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</si>
  <si>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</si>
  <si>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</si>
  <si>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</si>
  <si>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</si>
  <si>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</si>
  <si>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</si>
  <si>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</si>
  <si>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</si>
  <si>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</si>
  <si>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</si>
  <si>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</si>
  <si>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</si>
  <si>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</si>
  <si>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</si>
  <si>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</si>
  <si>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</si>
  <si>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</si>
  <si>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</si>
  <si>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</si>
  <si>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</si>
  <si>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</si>
  <si>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</si>
  <si>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</si>
  <si>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</si>
  <si>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</si>
  <si>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</si>
  <si>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</si>
  <si>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</si>
  <si>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</si>
  <si>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</si>
  <si>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</si>
  <si>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</si>
  <si>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</si>
  <si>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</si>
  <si>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</si>
  <si>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</si>
  <si>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</si>
  <si>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</si>
  <si>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</si>
  <si>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</si>
  <si>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</si>
  <si>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</si>
  <si>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</si>
  <si>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</si>
  <si>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</si>
  <si>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</si>
  <si>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</si>
  <si>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</si>
  <si>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</si>
  <si>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</si>
  <si>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</si>
  <si>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</si>
  <si>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</si>
  <si>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</si>
  <si>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</si>
  <si>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</si>
  <si>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</si>
  <si>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</si>
  <si>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</si>
  <si>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</si>
  <si>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</si>
  <si>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</si>
  <si>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</si>
  <si>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</si>
  <si>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</si>
  <si>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</si>
  <si>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</si>
  <si>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</si>
  <si>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</si>
  <si>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</si>
  <si>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</si>
  <si>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</si>
  <si>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</si>
  <si>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</si>
  <si>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</si>
  <si>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</si>
  <si>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</si>
  <si>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</si>
  <si>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</si>
  <si>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</si>
  <si>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</si>
  <si>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</si>
  <si>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</si>
  <si>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</si>
  <si>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</si>
  <si>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</si>
  <si>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</si>
  <si>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</si>
  <si>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</si>
  <si>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</si>
  <si>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</si>
  <si>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</si>
  <si>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</si>
  <si>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</si>
  <si>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</si>
  <si>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</si>
  <si>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</si>
  <si>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</si>
  <si>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</si>
  <si>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</si>
  <si>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</si>
  <si>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</si>
  <si>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</si>
  <si>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</si>
  <si>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</si>
  <si>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</si>
  <si>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</si>
  <si>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</si>
  <si>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</si>
  <si>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</si>
  <si>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</si>
  <si>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</si>
  <si>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</si>
  <si>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</si>
  <si>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</si>
  <si>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</si>
  <si>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</si>
  <si>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2009</t>
  </si>
  <si>
    <t>2018</t>
  </si>
  <si>
    <t>2019</t>
  </si>
  <si>
    <t>2017</t>
  </si>
  <si>
    <t>2016</t>
  </si>
  <si>
    <t>2020</t>
  </si>
  <si>
    <t>4951PA</t>
  </si>
  <si>
    <t>3VWH17AU2JM754068</t>
  </si>
  <si>
    <t>2015</t>
  </si>
  <si>
    <t>5057P</t>
  </si>
  <si>
    <t>3VV1B7AX7JM041101</t>
  </si>
  <si>
    <t>220026A</t>
  </si>
  <si>
    <t>3VV0B7AX1JM057807</t>
  </si>
  <si>
    <t>RECEVABLES INTERCO VEHICULE</t>
  </si>
  <si>
    <t>PROFIT/PERTES DECEMBRE</t>
  </si>
  <si>
    <t>UNITES NEUVES VENDUES DECEMBRE</t>
  </si>
  <si>
    <t>REVENUE HOLDBACK DIFFERE</t>
  </si>
  <si>
    <t>GOLF R</t>
  </si>
  <si>
    <t>Unités</t>
  </si>
  <si>
    <t>AJUSTEMENTS QG</t>
  </si>
  <si>
    <t>PROVISIONS QG</t>
  </si>
  <si>
    <t>CSST A PAYER OU RECEVOIR</t>
  </si>
  <si>
    <t>UNITES USAGES DET./ DEC.</t>
  </si>
  <si>
    <t>p12</t>
  </si>
  <si>
    <t>VAR</t>
  </si>
  <si>
    <t>$9454 ajustment report vac 2021</t>
  </si>
  <si>
    <t>Budget 2022</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</si>
  <si>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</si>
  <si>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</si>
  <si>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</si>
  <si>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</si>
  <si>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</si>
  <si>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</si>
  <si>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</si>
  <si>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</si>
  <si>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</si>
  <si>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</si>
  <si>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</si>
  <si>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</si>
  <si>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</si>
  <si>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</si>
  <si>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</si>
  <si>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</si>
  <si>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</si>
  <si>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</si>
  <si>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</si>
  <si>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</si>
  <si>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</si>
  <si>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</si>
  <si>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</si>
  <si>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</si>
  <si>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</si>
  <si>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</si>
  <si>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</si>
  <si>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</si>
  <si>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</si>
  <si>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</si>
  <si>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</si>
  <si>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</si>
  <si>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</si>
  <si>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</si>
  <si>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</si>
  <si>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</si>
  <si>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</si>
  <si>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</si>
  <si>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</si>
  <si>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</si>
  <si>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</si>
  <si>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</si>
  <si>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</si>
  <si>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</si>
  <si>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</si>
  <si>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</si>
  <si>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</si>
  <si>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</si>
  <si>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</si>
  <si>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</si>
  <si>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</si>
  <si>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</si>
  <si>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</si>
  <si>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</si>
  <si>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</si>
  <si>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</si>
  <si>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</si>
  <si>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</si>
  <si>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</si>
  <si>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</si>
  <si>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</si>
  <si>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</si>
  <si>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</si>
  <si>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</si>
  <si>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</si>
  <si>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</si>
  <si>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</si>
  <si>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</si>
  <si>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</si>
  <si>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</si>
  <si>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</si>
  <si>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</si>
  <si>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</si>
  <si>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</si>
  <si>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</si>
  <si>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</si>
  <si>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</si>
  <si>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</si>
  <si>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</si>
  <si>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</si>
  <si>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</si>
  <si>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</si>
  <si>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</si>
  <si>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</si>
  <si>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</si>
  <si>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</si>
  <si>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</si>
  <si>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</si>
  <si>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</si>
  <si>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</si>
  <si>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</si>
  <si>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</si>
  <si>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</si>
  <si>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</si>
  <si>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</si>
  <si>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</si>
  <si>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</si>
  <si>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</si>
  <si>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</si>
  <si>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</si>
  <si>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</si>
  <si>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</si>
  <si>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</si>
  <si>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</si>
  <si>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</si>
  <si>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</si>
  <si>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</si>
  <si>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</si>
  <si>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</si>
  <si>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</si>
  <si>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</si>
  <si>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</si>
  <si>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</si>
  <si>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</si>
  <si>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</si>
  <si>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</si>
  <si>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</si>
  <si>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</si>
  <si>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</si>
  <si>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</si>
  <si>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</si>
  <si>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</si>
  <si>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</si>
  <si>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</si>
  <si>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</si>
  <si>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</si>
  <si>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</si>
  <si>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</si>
  <si>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</si>
  <si>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</si>
  <si>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</si>
  <si>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</si>
  <si>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</si>
  <si>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</si>
  <si>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</si>
  <si>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</si>
  <si>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</si>
  <si>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</si>
  <si>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</si>
  <si>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</si>
  <si>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</si>
  <si>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</si>
  <si>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</si>
  <si>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</si>
  <si>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</si>
  <si>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</si>
  <si>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</si>
  <si>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</si>
  <si>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</si>
  <si>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</si>
  <si>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</si>
  <si>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</si>
  <si>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</si>
  <si>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</si>
  <si>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</si>
  <si>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</si>
  <si>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</si>
  <si>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</si>
  <si>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</si>
  <si>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</si>
  <si>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</si>
  <si>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</si>
  <si>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</si>
  <si>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</si>
  <si>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</si>
  <si>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</si>
  <si>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</si>
  <si>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</si>
  <si>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</si>
  <si>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</si>
  <si>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</si>
  <si>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</si>
  <si>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</si>
  <si>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</si>
  <si>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</si>
  <si>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</si>
  <si>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</si>
  <si>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</si>
  <si>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</si>
  <si>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</si>
  <si>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</si>
  <si>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</si>
  <si>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</si>
  <si>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</si>
  <si>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</si>
  <si>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</si>
  <si>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</si>
  <si>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</si>
  <si>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</si>
  <si>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</si>
  <si>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</si>
  <si>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</si>
  <si>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</si>
  <si>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</si>
  <si>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</si>
  <si>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</si>
  <si>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</si>
  <si>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</si>
  <si>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</si>
  <si>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</si>
  <si>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</si>
  <si>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</si>
  <si>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</si>
  <si>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</si>
  <si>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</si>
  <si>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</si>
  <si>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</si>
  <si>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</si>
  <si>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</si>
  <si>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</si>
  <si>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</si>
  <si>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</si>
  <si>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</si>
  <si>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</si>
  <si>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</si>
  <si>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</si>
  <si>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</si>
  <si>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</si>
  <si>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</si>
  <si>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</si>
  <si>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</si>
  <si>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</si>
  <si>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</si>
  <si>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</si>
  <si>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</si>
  <si>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</si>
  <si>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</si>
  <si>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</si>
  <si>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</si>
  <si>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</si>
  <si>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</si>
  <si>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</si>
  <si>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</si>
  <si>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</si>
  <si>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</si>
  <si>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</si>
  <si>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</si>
  <si>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</si>
  <si>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</si>
  <si>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</si>
  <si>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</si>
  <si>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</si>
  <si>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</si>
  <si>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</si>
  <si>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</si>
  <si>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</si>
  <si>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</si>
  <si>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</si>
  <si>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</si>
  <si>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</si>
  <si>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</si>
  <si>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</si>
  <si>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</si>
  <si>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</si>
  <si>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</si>
  <si>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</si>
  <si>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</si>
  <si>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</si>
  <si>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</si>
  <si>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</si>
  <si>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</si>
  <si>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</si>
  <si>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</si>
  <si>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</si>
  <si>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</si>
  <si>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</si>
  <si>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</si>
  <si>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</si>
  <si>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</si>
  <si>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</si>
  <si>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</si>
  <si>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</si>
  <si>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</si>
  <si>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</si>
  <si>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</si>
  <si>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</si>
  <si>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</si>
  <si>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</si>
  <si>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</si>
  <si>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</si>
  <si>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</si>
  <si>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</si>
  <si>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</si>
  <si>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</si>
  <si>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</si>
  <si>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</si>
  <si>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</si>
  <si>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</si>
  <si>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</si>
  <si>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</si>
  <si>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</si>
  <si>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</si>
  <si>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 DE VTE - M.O. CARROS.GARANTIE</t>
  </si>
  <si>
    <t>4503@</t>
  </si>
  <si>
    <t>4121</t>
  </si>
  <si>
    <t>3VV8B7AX7NM058209</t>
  </si>
  <si>
    <t>3VV2B7AX4NM056973</t>
  </si>
  <si>
    <t>3VV8B7AX1NM057041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</si>
  <si>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</si>
  <si>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</si>
  <si>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</si>
  <si>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</si>
  <si>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</si>
  <si>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</si>
  <si>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</si>
  <si>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</si>
  <si>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</si>
  <si>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</si>
  <si>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</si>
  <si>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</si>
  <si>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</si>
  <si>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</si>
  <si>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1V2BC2CA3NC201508</t>
  </si>
  <si>
    <t>3VWEM7BU3NM002118</t>
  </si>
  <si>
    <t>220250A</t>
  </si>
  <si>
    <t>3VV2B7AX3JM090851</t>
  </si>
  <si>
    <t>220079A</t>
  </si>
  <si>
    <t>1V2RR2CA7JC581007</t>
  </si>
  <si>
    <t>220270A</t>
  </si>
  <si>
    <t>1V2MR2CAXKC590361</t>
  </si>
  <si>
    <t>2010</t>
  </si>
  <si>
    <t>2011</t>
  </si>
  <si>
    <t>5109PA</t>
  </si>
  <si>
    <t>WRANGLER</t>
  </si>
  <si>
    <t>1C4GJXAN6JW212401</t>
  </si>
  <si>
    <t>5116PA</t>
  </si>
  <si>
    <t>WVGJV3AXXEW570512</t>
  </si>
  <si>
    <t>220238A</t>
  </si>
  <si>
    <t>GOLF WAGON</t>
  </si>
  <si>
    <t>3VWKX7AJ7EM611715</t>
  </si>
  <si>
    <t>5123P</t>
  </si>
  <si>
    <t>ARTEON</t>
  </si>
  <si>
    <t>WVWSR7ANXLE017011</t>
  </si>
  <si>
    <t>220242A</t>
  </si>
  <si>
    <t>1V2LR2CA8JC563718</t>
  </si>
  <si>
    <t>5118P</t>
  </si>
  <si>
    <t>WVWVF7AU7JW300437</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</si>
  <si>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</si>
  <si>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</si>
  <si>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</si>
  <si>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</si>
  <si>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</si>
  <si>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</si>
  <si>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</si>
  <si>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</si>
  <si>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</si>
  <si>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</si>
  <si>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</si>
  <si>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</si>
  <si>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</si>
  <si>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</si>
  <si>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</si>
  <si>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</si>
  <si>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</si>
  <si>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</si>
  <si>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</si>
  <si>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</si>
  <si>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</si>
  <si>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</si>
  <si>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</si>
  <si>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</si>
  <si>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</si>
  <si>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</si>
  <si>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</si>
  <si>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</si>
  <si>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</si>
  <si>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</si>
  <si>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</si>
  <si>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</si>
  <si>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</si>
  <si>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</si>
  <si>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</si>
  <si>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</si>
  <si>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</si>
  <si>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</si>
  <si>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</si>
  <si>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</si>
  <si>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</si>
  <si>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</si>
  <si>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</si>
  <si>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</si>
  <si>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</si>
  <si>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</si>
  <si>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</si>
  <si>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</si>
  <si>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</si>
  <si>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</si>
  <si>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</si>
  <si>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4144@</t>
  </si>
  <si>
    <t>C/V - JETTA GLI</t>
  </si>
  <si>
    <t>VTE - JETTA GLI</t>
  </si>
  <si>
    <t>UNITES VENDUES - JETTA GLI</t>
  </si>
  <si>
    <t>Forecast Immobilisation 2022</t>
  </si>
  <si>
    <t>*** *** NE PAS EFFACER *** ***</t>
  </si>
  <si>
    <t>Volkwagen</t>
  </si>
  <si>
    <t>CADILLAC TRUCK SRX</t>
  </si>
  <si>
    <t>2013</t>
  </si>
  <si>
    <t>JEEP WRANGLER</t>
  </si>
  <si>
    <t>220176B</t>
  </si>
  <si>
    <t>1V2NR2CA4JC564650</t>
  </si>
  <si>
    <t>5136P</t>
  </si>
  <si>
    <t>3VW917AU8GM029622</t>
  </si>
  <si>
    <t>5137P</t>
  </si>
  <si>
    <t>3VV2B7AX5JM108525</t>
  </si>
  <si>
    <t>220256A</t>
  </si>
  <si>
    <t>3VV2B7AX2JM102987</t>
  </si>
  <si>
    <t>220071A</t>
  </si>
  <si>
    <t>GOLF 5</t>
  </si>
  <si>
    <t>3VW217AU4FM008606</t>
  </si>
  <si>
    <t>5144P</t>
  </si>
  <si>
    <t>1VWBS7A39GC045965</t>
  </si>
  <si>
    <t>5145P</t>
  </si>
  <si>
    <t>WVWVF7AU1JW197564</t>
  </si>
  <si>
    <t>220275A</t>
  </si>
  <si>
    <t>1C4HJXEG9KW543703</t>
  </si>
  <si>
    <t>5146P</t>
  </si>
  <si>
    <t>1VWBS7A39FC098079</t>
  </si>
  <si>
    <t>5148P</t>
  </si>
  <si>
    <t>ATLAS CROSS SPO</t>
  </si>
  <si>
    <t>1V2BC2CAXMC232463</t>
  </si>
  <si>
    <t>5149P</t>
  </si>
  <si>
    <t>3VW167AJ1GM398035</t>
  </si>
  <si>
    <t>5150P</t>
  </si>
  <si>
    <t>3VV4B7AX7JM194543</t>
  </si>
  <si>
    <t>220267A</t>
  </si>
  <si>
    <t>GOLF SPORTWAGEN</t>
  </si>
  <si>
    <t>3VW217AU0KM506134</t>
  </si>
  <si>
    <t>220282A</t>
  </si>
  <si>
    <t>3VV2B7AX4JM121752</t>
  </si>
  <si>
    <t>220286A</t>
  </si>
  <si>
    <t>WVWWF7AU2JW193317</t>
  </si>
  <si>
    <t>5152P</t>
  </si>
  <si>
    <t>3VWE57BU7KM029640</t>
  </si>
  <si>
    <t>220287A</t>
  </si>
  <si>
    <t>3VW167AJ3HM308675</t>
  </si>
  <si>
    <t>5153P</t>
  </si>
  <si>
    <t>1V2NR2CAXJC542622</t>
  </si>
  <si>
    <t>5155P</t>
  </si>
  <si>
    <t>3VV2B7AX9KM116127</t>
  </si>
  <si>
    <t>0481R</t>
  </si>
  <si>
    <t>1V2BR2CAXMC508364</t>
  </si>
  <si>
    <t>220296A</t>
  </si>
  <si>
    <t>3VV2B7AX3JM112105</t>
  </si>
  <si>
    <t>220297A</t>
  </si>
  <si>
    <t>MUSTANG</t>
  </si>
  <si>
    <t>1FA6P8TH0K5162731</t>
  </si>
  <si>
    <t>5134PA</t>
  </si>
  <si>
    <t>MERCEDES LIGHT TRUCK GLK-CLASS</t>
  </si>
  <si>
    <t>WDCGG0EBXFG348788</t>
  </si>
  <si>
    <t>5159P</t>
  </si>
  <si>
    <t>3VWYT7AU8HM024136</t>
  </si>
  <si>
    <t>220279A</t>
  </si>
  <si>
    <t>3VV4B7AX1KM104160</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</si>
  <si>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</si>
  <si>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</si>
  <si>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</si>
  <si>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</si>
  <si>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</si>
  <si>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</si>
  <si>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</si>
  <si>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</si>
  <si>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</si>
  <si>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</si>
  <si>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</si>
  <si>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</si>
  <si>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</si>
  <si>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</si>
  <si>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</si>
  <si>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</si>
  <si>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</si>
  <si>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</si>
  <si>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</si>
  <si>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</si>
  <si>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</si>
  <si>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</si>
  <si>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</si>
  <si>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</si>
  <si>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</si>
  <si>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</si>
  <si>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GTI</t>
  </si>
  <si>
    <t>WVWP87CD7NW160248</t>
  </si>
  <si>
    <t>3VV2X7B21NM061729</t>
  </si>
  <si>
    <t>1V2FR2CA5NC529660</t>
  </si>
  <si>
    <t>3VVLX7B22NM065776</t>
  </si>
  <si>
    <t>1V2BE2CA8NC220162</t>
  </si>
  <si>
    <t>3VV8B7AXXNM105054</t>
  </si>
  <si>
    <t>1V2BR2CA6NC532033</t>
  </si>
  <si>
    <t>1V2BR2CA6NC537104</t>
  </si>
  <si>
    <t>3VV8B7AX6NM104810</t>
  </si>
  <si>
    <t>1V2FR2CA1NC539344</t>
  </si>
  <si>
    <t>1V2FE2CA6NC219741</t>
  </si>
  <si>
    <t>3VWEM7BU4NM013208</t>
  </si>
  <si>
    <t>3VV2B7AX6NM090624</t>
  </si>
  <si>
    <t>3VV4B7AX6NM089451</t>
  </si>
  <si>
    <t>3VV8B7AX5NM090480</t>
  </si>
  <si>
    <t>3VVLX7B20NM062472</t>
  </si>
  <si>
    <t>3VV8B7AX5NM089099</t>
  </si>
  <si>
    <t>3VV2X7B29NM067052</t>
  </si>
  <si>
    <t>3VV4B7AX6NM096500</t>
  </si>
  <si>
    <t>1V2GP2CA0NC543959</t>
  </si>
  <si>
    <t>3VWCM7BUXNM014113</t>
  </si>
  <si>
    <t>5106PB</t>
  </si>
  <si>
    <t>2006</t>
  </si>
  <si>
    <t>AUDI A4</t>
  </si>
  <si>
    <t>A4</t>
  </si>
  <si>
    <t>WAUKG78E16A003423</t>
  </si>
  <si>
    <t>SRK</t>
  </si>
  <si>
    <t xml:space="preserve">FORD </t>
  </si>
  <si>
    <t>5179P</t>
  </si>
  <si>
    <t>FORD PICK-UP</t>
  </si>
  <si>
    <t>RANGER</t>
  </si>
  <si>
    <t>1FTZR45E59PA43844</t>
  </si>
  <si>
    <t>5199P</t>
  </si>
  <si>
    <t>JEEP GRAND CHEROKEE</t>
  </si>
  <si>
    <t>CHEROKEE</t>
  </si>
  <si>
    <t>1C4RJFAG5KC766665</t>
  </si>
  <si>
    <t>5177PA</t>
  </si>
  <si>
    <t>JEEP WRANGLER UNLIMI</t>
  </si>
  <si>
    <t>1C4BJWEG8DL608836</t>
  </si>
  <si>
    <t>220067A</t>
  </si>
  <si>
    <t>KIA</t>
  </si>
  <si>
    <t>FORTE</t>
  </si>
  <si>
    <t>KNAFT4A20A5141032</t>
  </si>
  <si>
    <t>5158PA</t>
  </si>
  <si>
    <t>2007</t>
  </si>
  <si>
    <t>RONDO</t>
  </si>
  <si>
    <t>KNAFG525977106652</t>
  </si>
  <si>
    <t>GLK</t>
  </si>
  <si>
    <t>220247B</t>
  </si>
  <si>
    <t>NISSAN</t>
  </si>
  <si>
    <t>MICRA</t>
  </si>
  <si>
    <t>3N1CK3CP6KL234797</t>
  </si>
  <si>
    <t>5172P</t>
  </si>
  <si>
    <t>VOLKSWAGEN</t>
  </si>
  <si>
    <t>WVWSR7AN5KE007291</t>
  </si>
  <si>
    <t>5197P</t>
  </si>
  <si>
    <t>1V2RR2CAXJC558790</t>
  </si>
  <si>
    <t>220314A</t>
  </si>
  <si>
    <t>1V2RR2CA7KC588959</t>
  </si>
  <si>
    <t>5078P</t>
  </si>
  <si>
    <t>1V2TE2CA4LC219740</t>
  </si>
  <si>
    <t>5205P</t>
  </si>
  <si>
    <t>BEETLE CONVERTI</t>
  </si>
  <si>
    <t>3VW5DAAT9KM500485</t>
  </si>
  <si>
    <t>5190P</t>
  </si>
  <si>
    <t>BEETLE COUPE</t>
  </si>
  <si>
    <t>3VWJ17AT6HM630663</t>
  </si>
  <si>
    <t>220343A</t>
  </si>
  <si>
    <t>3VW217AU4GM059380</t>
  </si>
  <si>
    <t>5207P</t>
  </si>
  <si>
    <t>3VWG17AU7JM276323</t>
  </si>
  <si>
    <t>220311A</t>
  </si>
  <si>
    <t>3VWG17AU6JM274126</t>
  </si>
  <si>
    <t>5181P</t>
  </si>
  <si>
    <t>3VWB17AU6JM281183</t>
  </si>
  <si>
    <t>5185P</t>
  </si>
  <si>
    <t>3VWG57AU1KM007692</t>
  </si>
  <si>
    <t>5204P</t>
  </si>
  <si>
    <t>3VWW57AU8MM012905</t>
  </si>
  <si>
    <t>5195P</t>
  </si>
  <si>
    <t>3VWH17AU8KM502651</t>
  </si>
  <si>
    <t>5201P</t>
  </si>
  <si>
    <t>3VW4T7AUXFM046666</t>
  </si>
  <si>
    <t>5122PC</t>
  </si>
  <si>
    <t>3VWYT7AU2FM029880</t>
  </si>
  <si>
    <t>5194P</t>
  </si>
  <si>
    <t>3VW6T7AU2KM013034</t>
  </si>
  <si>
    <t>5200P</t>
  </si>
  <si>
    <t>3VW5T7AU7KM007810</t>
  </si>
  <si>
    <t>5171P</t>
  </si>
  <si>
    <t>3VW6T7AU9MM012823</t>
  </si>
  <si>
    <t>5192P</t>
  </si>
  <si>
    <t>WVWVF7AU5JW216245</t>
  </si>
  <si>
    <t>220301B</t>
  </si>
  <si>
    <t>WVWDB7CD4NW135358</t>
  </si>
  <si>
    <t>220337A</t>
  </si>
  <si>
    <t>3VW117AU1JM765225</t>
  </si>
  <si>
    <t>5178P</t>
  </si>
  <si>
    <t>3VWN57BU3KM119819</t>
  </si>
  <si>
    <t>5202P</t>
  </si>
  <si>
    <t>3VWW57BU6KM023798</t>
  </si>
  <si>
    <t>220338A</t>
  </si>
  <si>
    <t>3VWE57BU9KM264475</t>
  </si>
  <si>
    <t>220334A</t>
  </si>
  <si>
    <t>3VWE57BU1KM065226</t>
  </si>
  <si>
    <t>220328A</t>
  </si>
  <si>
    <t>3VWG57BU5KM081437</t>
  </si>
  <si>
    <t>5193P</t>
  </si>
  <si>
    <t>3VWG57BU5KM026700</t>
  </si>
  <si>
    <t>220320A</t>
  </si>
  <si>
    <t>JETTA 1.4 TSI HIGHLI</t>
  </si>
  <si>
    <t>3VWEB7BU5LM071072</t>
  </si>
  <si>
    <t>5188P</t>
  </si>
  <si>
    <t>3VWLL7AJ3BM097101</t>
  </si>
  <si>
    <t>5165P</t>
  </si>
  <si>
    <t>3VWG07AJ4EM419095</t>
  </si>
  <si>
    <t>220309A</t>
  </si>
  <si>
    <t>3VW267AJXGM395347</t>
  </si>
  <si>
    <t>5182P</t>
  </si>
  <si>
    <t>WVGJV3AX0EW583883</t>
  </si>
  <si>
    <t>5169P</t>
  </si>
  <si>
    <t>WVGJV3AX6EW606132</t>
  </si>
  <si>
    <t>5203P</t>
  </si>
  <si>
    <t>WVGJV7AX9GW607995</t>
  </si>
  <si>
    <t>5184P</t>
  </si>
  <si>
    <t>WVGMV7AX8HK035016</t>
  </si>
  <si>
    <t>220315A</t>
  </si>
  <si>
    <t>3VV0B7AX1JM140119</t>
  </si>
  <si>
    <t>220307A</t>
  </si>
  <si>
    <t>3VV1B7AX4JM179887</t>
  </si>
  <si>
    <t>5189P</t>
  </si>
  <si>
    <t>3VV2B7AX1JM047948</t>
  </si>
  <si>
    <t>5174P</t>
  </si>
  <si>
    <t>3VV2B7AX3JM118616</t>
  </si>
  <si>
    <t>220278A</t>
  </si>
  <si>
    <t>3VV2B7AX3JM187483</t>
  </si>
  <si>
    <t>5176P</t>
  </si>
  <si>
    <t>3VV4B7AX0JM103337</t>
  </si>
  <si>
    <t>5196P</t>
  </si>
  <si>
    <t>3VV4B7AX8JM199105</t>
  </si>
  <si>
    <t>5198P</t>
  </si>
  <si>
    <t>3VV4B7AX6JM081506</t>
  </si>
  <si>
    <t>220345A</t>
  </si>
  <si>
    <t>3VV4B7AX2JM197642</t>
  </si>
  <si>
    <t>220304A</t>
  </si>
  <si>
    <t>3VV4B7AX9JM140676</t>
  </si>
  <si>
    <t>5166P</t>
  </si>
  <si>
    <t>3VV2B7AX9KM193628</t>
  </si>
  <si>
    <t>5161P</t>
  </si>
  <si>
    <t>3VV2B7AX0KM175275</t>
  </si>
  <si>
    <t>5208P</t>
  </si>
  <si>
    <t>3VV2B7AX2LM118836</t>
  </si>
  <si>
    <t>5191P</t>
  </si>
  <si>
    <t>3VV2B7AX3LM064057</t>
  </si>
  <si>
    <t>5183P</t>
  </si>
  <si>
    <t>3VV4B7AX2LM145267</t>
  </si>
  <si>
    <t>5163P</t>
  </si>
  <si>
    <t>3VV2B7AX5LM098498</t>
  </si>
  <si>
    <t>5175P</t>
  </si>
  <si>
    <t>3VV4B7AX5LM054266</t>
  </si>
  <si>
    <t>5186P</t>
  </si>
  <si>
    <t>3VV4B7AX5MM159360</t>
  </si>
  <si>
    <t>5180P</t>
  </si>
  <si>
    <t>TOUAREG</t>
  </si>
  <si>
    <t>WVGEP9BP3GD003909</t>
  </si>
  <si>
    <t xml:space="preserve">Des unités qui commencent disponibles toujours pour environ la moitié de nos prévisions. Les informations du manufacturier ne sont pas optimistes pour la fin de l’année.
Dans un volume en dessous du budget de près de 52%, on ne manque le budget de brut que de 10%.
Une moyenne front comme back plus haute que tous les autres mois confondus, un record a été atteint et au-delà des moyennes du groupe excellence.
Les faibles volumes commencent à peser lourd dans le manque à gagner des autres revenus de type holdbacks, frais de documentation et expérience+.
Les ratios de dépenses restent sous contrôle tout comme la vibe à la concession.
Retard de 60433$ sur le budget.
</t>
  </si>
  <si>
    <t xml:space="preserve">Le marché change. Quelques gros VUS et Pick-ups partis à l’encan. Une stratégie d’affichage en ligne plus poussée avec Kijiji, trader et Otogo maintenant. On fait le point début juillet des choix finaux à faire pour garder la meilleure combinaison.
L’inventaire est sain et plutôt avec une bonne variété de produit dans le contexte actuel.
On doit continuer de pousser plus fort dans ce département. Mais aussi sans doute revoir les plans de paye devenus anormalement généreux.
Avance de 8777$ sur le budget
</t>
  </si>
  <si>
    <t xml:space="preserve">Les ventes clients ont plus que compensé le manque de $ à l’interne.
La garantie reste en retard pour des raisons très explicables. Les véhicules qui brisaient « après-pandémie » du fait de l’Absence d’usage se sont tous mis à rouler à nouveau et ne brisent plus.
Des dépenses qui dépassent un peu le budget compte tenu d’une relocalisation d’employés en travaux légers vers l’improduction et tombent dans les salaires autres. C’est un choix versus les laisser sur la CNESST.
Un point aussi dans la portion uniformes, papeterie et autres avec un changement de facturation de LAR qui ramène dans le même mois le mois actuel et le suivant. Cela se compensera dans les prochains.
Carrosserie qui va bien avec une avance sur le budget et un gros soutien sur le département des pièces.
Retard de 14363$ sur le budget
</t>
  </si>
  <si>
    <t xml:space="preserve">Un beau niveau de profitabilité dans les ventes aux clients et globalement tous canaux confondus. Belle performance dans la vente de gros. Le brut global est dépassé de 3697$
De dépenses de fonctionnement à la hausse avec la mise à jour du calcul de la CNESST qui n’avait pas été budgété ainsi que la portion publicité qui englobe plusieurs paramètres dont le détail sera disponible au monthly.
Retard de 7202$ sur le budget
</t>
  </si>
  <si>
    <t>Toujours un nombre d’employés en dessous du budget en ligne avec le niveau d’activité. La portion marketing reste le point sur lequel nous devons augmenter notre niveau de vigilance.</t>
  </si>
  <si>
    <t>Un mois difficile versus le budget car parmi les plus hauts de l’année. Cela ne doit pas occulter de bons résultats sur les éléments contrôlables. Année à jour on reste avec une légère avance sur le budget</t>
  </si>
  <si>
    <t>$Ventes</t>
  </si>
  <si>
    <t>REC. PROPRIO - INTERCO</t>
  </si>
  <si>
    <t>1362</t>
  </si>
  <si>
    <t>4715</t>
  </si>
  <si>
    <t>COMPTE FOURNISSEURS INTERCO</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</si>
</sst>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quot;$&quot;#,##0"/>
    <numFmt numFmtId="168" formatCode="_-* #,##0\ _$_-;_-* #,##0\ _$\-;_-* &quot;-&quot;??\ _$_-;_-@"/>
    <numFmt numFmtId="169" formatCode="_(* #,##0_);_(* \(#,##0\);_(* &quot;-&quot;??_);_(@_)"/>
    <numFmt numFmtId="170" formatCode="dd\/mm\/yy_)"/>
    <numFmt numFmtId="171" formatCode="0.0%"/>
    <numFmt numFmtId="172" formatCode="0_)"/>
    <numFmt numFmtId="173" formatCode="0.00_)"/>
    <numFmt numFmtId="174" formatCode="#,###.00;\-#,###.00;.00"/>
    <numFmt numFmtId="175" formatCode="#.00;\-#.00;.00"/>
    <numFmt numFmtId="176" formatCode="#,###.00;\-#,###.00;.00;@"/>
    <numFmt numFmtId="177" formatCode="0.00000000000000%"/>
    <numFmt numFmtId="178" formatCode="#;#;0;@"/>
    <numFmt numFmtId="179" formatCode="_(&quot;$&quot;* #,##0_);_(&quot;$&quot;* \(#,##0\);_(&quot;$&quot;* &quot;-&quot;??_);_(@_)"/>
    <numFmt numFmtId="180" formatCode="[$-F400]h:mm:ss\ AM/PM"/>
    <numFmt numFmtId="181" formatCode="0&quot; B.T.&quot;"/>
    <numFmt numFmtId="182" formatCode="#.#\.00;\-#.#\.00;\.00;@"/>
  </numFmts>
  <fonts count="112">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6">
    <xf numFmtId="0" fontId="0" fillId="0" borderId="0"/>
    <xf numFmtId="9" fontId="57" fillId="0" borderId="0" applyFont="0" applyFill="0" applyBorder="0" applyAlignment="0" applyProtection="0"/>
    <xf numFmtId="0" fontId="21" fillId="0" borderId="1"/>
    <xf numFmtId="0" fontId="20" fillId="0" borderId="1"/>
    <xf numFmtId="9" fontId="20" fillId="0" borderId="1" applyFont="0" applyFill="0" applyBorder="0" applyAlignment="0" applyProtection="0"/>
    <xf numFmtId="166" fontId="87" fillId="0" borderId="0" applyFont="0" applyFill="0" applyBorder="0" applyAlignment="0" applyProtection="0"/>
    <xf numFmtId="0" fontId="19" fillId="0" borderId="1"/>
    <xf numFmtId="0" fontId="18" fillId="0" borderId="1"/>
    <xf numFmtId="0" fontId="17" fillId="0" borderId="1"/>
    <xf numFmtId="0" fontId="15" fillId="0" borderId="1"/>
    <xf numFmtId="0" fontId="13" fillId="0" borderId="1"/>
    <xf numFmtId="0" fontId="57" fillId="0" borderId="1"/>
    <xf numFmtId="0" fontId="92" fillId="0" borderId="1"/>
    <xf numFmtId="165" fontId="92" fillId="0" borderId="0" applyFont="0" applyFill="0" applyBorder="0" applyAlignment="0" applyProtection="0"/>
    <xf numFmtId="43" fontId="11" fillId="0" borderId="1" applyFont="0" applyFill="0" applyBorder="0" applyAlignment="0" applyProtection="0"/>
    <xf numFmtId="0" fontId="10" fillId="0" borderId="1"/>
    <xf numFmtId="0" fontId="9" fillId="0" borderId="1"/>
    <xf numFmtId="44" fontId="9" fillId="0" borderId="1" applyFont="0" applyFill="0" applyBorder="0" applyAlignment="0" applyProtection="0"/>
    <xf numFmtId="9" fontId="9" fillId="0" borderId="1" applyFont="0" applyFill="0" applyBorder="0" applyAlignment="0" applyProtection="0"/>
    <xf numFmtId="0" fontId="8" fillId="0" borderId="1"/>
    <xf numFmtId="9" fontId="8" fillId="0" borderId="1" applyFont="0" applyFill="0" applyBorder="0" applyAlignment="0" applyProtection="0"/>
    <xf numFmtId="0" fontId="5" fillId="0" borderId="1"/>
    <xf numFmtId="0" fontId="4" fillId="0" borderId="1"/>
    <xf numFmtId="0" fontId="3" fillId="0" borderId="1"/>
    <xf numFmtId="0" fontId="2" fillId="0" borderId="1"/>
    <xf numFmtId="0" fontId="1" fillId="0" borderId="1"/>
  </cellStyleXfs>
  <cellXfs count="1434">
    <xf numFmtId="0" fontId="0" fillId="0" borderId="0" xfId="0" applyFont="1" applyAlignment="1"/>
    <xf numFmtId="0" fontId="22" fillId="0" borderId="0" xfId="0" applyFont="1"/>
    <xf numFmtId="0" fontId="23" fillId="0" borderId="0" xfId="0" applyFont="1"/>
    <xf numFmtId="0" fontId="23" fillId="2" borderId="1" xfId="0" applyFont="1" applyFill="1" applyBorder="1" applyAlignment="1">
      <alignment horizontal="center"/>
    </xf>
    <xf numFmtId="0" fontId="24" fillId="0" borderId="0" xfId="0" applyFont="1" applyAlignment="1">
      <alignment horizontal="left"/>
    </xf>
    <xf numFmtId="0" fontId="25" fillId="0" borderId="0" xfId="0" applyFont="1" applyAlignment="1">
      <alignment horizontal="center"/>
    </xf>
    <xf numFmtId="0" fontId="25" fillId="0" borderId="0" xfId="0" applyFont="1" applyAlignment="1">
      <alignment horizontal="right"/>
    </xf>
    <xf numFmtId="0" fontId="24" fillId="0" borderId="0" xfId="0" applyFont="1"/>
    <xf numFmtId="0" fontId="26" fillId="0" borderId="2" xfId="0" applyFont="1" applyBorder="1"/>
    <xf numFmtId="0" fontId="28" fillId="0" borderId="4" xfId="0" applyFont="1" applyBorder="1"/>
    <xf numFmtId="0" fontId="26" fillId="0" borderId="6" xfId="0" applyFont="1" applyBorder="1"/>
    <xf numFmtId="0" fontId="28" fillId="0" borderId="6" xfId="0" applyFont="1" applyBorder="1"/>
    <xf numFmtId="0" fontId="28" fillId="3" borderId="8" xfId="0" applyFont="1" applyFill="1" applyBorder="1"/>
    <xf numFmtId="0" fontId="28" fillId="3" borderId="10" xfId="0" applyFont="1" applyFill="1" applyBorder="1"/>
    <xf numFmtId="0" fontId="27" fillId="0" borderId="6" xfId="0" applyFont="1" applyBorder="1"/>
    <xf numFmtId="168" fontId="23" fillId="0" borderId="0" xfId="0" applyNumberFormat="1" applyFont="1"/>
    <xf numFmtId="0" fontId="23" fillId="0" borderId="6" xfId="0" applyFont="1" applyBorder="1"/>
    <xf numFmtId="169" fontId="23" fillId="0" borderId="0" xfId="0" applyNumberFormat="1" applyFont="1"/>
    <xf numFmtId="0" fontId="25" fillId="0" borderId="0" xfId="0" applyFont="1"/>
    <xf numFmtId="0" fontId="30" fillId="0" borderId="0" xfId="0" applyFont="1" applyAlignment="1">
      <alignment horizontal="center" vertical="center"/>
    </xf>
    <xf numFmtId="3" fontId="25" fillId="0" borderId="0" xfId="0" applyNumberFormat="1" applyFont="1"/>
    <xf numFmtId="0" fontId="30" fillId="0" borderId="0" xfId="0" applyFont="1"/>
    <xf numFmtId="170" fontId="31" fillId="0" borderId="0" xfId="0" applyNumberFormat="1" applyFont="1" applyAlignment="1">
      <alignment horizontal="left"/>
    </xf>
    <xf numFmtId="0" fontId="31" fillId="0" borderId="0" xfId="0" applyFont="1"/>
    <xf numFmtId="0" fontId="32" fillId="0" borderId="0" xfId="0" applyFont="1"/>
    <xf numFmtId="0" fontId="33" fillId="0" borderId="0" xfId="0" applyFont="1"/>
    <xf numFmtId="37" fontId="34" fillId="3" borderId="14" xfId="0" applyNumberFormat="1" applyFont="1" applyFill="1" applyBorder="1"/>
    <xf numFmtId="3" fontId="34" fillId="3" borderId="14" xfId="0" applyNumberFormat="1" applyFont="1" applyFill="1" applyBorder="1"/>
    <xf numFmtId="37" fontId="34" fillId="3" borderId="9" xfId="0" applyNumberFormat="1" applyFont="1" applyFill="1" applyBorder="1"/>
    <xf numFmtId="37" fontId="34" fillId="3" borderId="8" xfId="0" applyNumberFormat="1" applyFont="1" applyFill="1" applyBorder="1"/>
    <xf numFmtId="172" fontId="34" fillId="3" borderId="14" xfId="0" applyNumberFormat="1" applyFont="1" applyFill="1" applyBorder="1"/>
    <xf numFmtId="0" fontId="34" fillId="3" borderId="10" xfId="0" applyFont="1" applyFill="1" applyBorder="1"/>
    <xf numFmtId="0" fontId="34" fillId="3" borderId="11" xfId="0" applyFont="1" applyFill="1" applyBorder="1"/>
    <xf numFmtId="171" fontId="34" fillId="3" borderId="10" xfId="0" applyNumberFormat="1" applyFont="1" applyFill="1" applyBorder="1"/>
    <xf numFmtId="171" fontId="34" fillId="3" borderId="11" xfId="0" applyNumberFormat="1" applyFont="1" applyFill="1" applyBorder="1"/>
    <xf numFmtId="0" fontId="34" fillId="4" borderId="1" xfId="0" applyFont="1" applyFill="1" applyBorder="1"/>
    <xf numFmtId="0" fontId="33" fillId="0" borderId="0" xfId="0" applyFont="1" applyAlignment="1">
      <alignment horizontal="right"/>
    </xf>
    <xf numFmtId="37" fontId="33" fillId="0" borderId="0" xfId="0" applyNumberFormat="1" applyFont="1"/>
    <xf numFmtId="0" fontId="34" fillId="3" borderId="16" xfId="0" applyFont="1" applyFill="1" applyBorder="1"/>
    <xf numFmtId="0" fontId="34" fillId="3" borderId="17" xfId="0" applyFont="1" applyFill="1" applyBorder="1" applyAlignment="1">
      <alignment horizontal="center"/>
    </xf>
    <xf numFmtId="171" fontId="34" fillId="3" borderId="17" xfId="0" applyNumberFormat="1" applyFont="1" applyFill="1" applyBorder="1"/>
    <xf numFmtId="37" fontId="34" fillId="3" borderId="18" xfId="0" applyNumberFormat="1" applyFont="1" applyFill="1" applyBorder="1"/>
    <xf numFmtId="0" fontId="34" fillId="3" borderId="16" xfId="0" applyFont="1" applyFill="1" applyBorder="1" applyAlignment="1">
      <alignment horizontal="center"/>
    </xf>
    <xf numFmtId="0" fontId="33" fillId="3" borderId="13" xfId="0" applyFont="1" applyFill="1" applyBorder="1"/>
    <xf numFmtId="0" fontId="33" fillId="3" borderId="16" xfId="0" applyFont="1" applyFill="1" applyBorder="1"/>
    <xf numFmtId="37" fontId="34" fillId="0" borderId="0" xfId="0" applyNumberFormat="1" applyFont="1"/>
    <xf numFmtId="37" fontId="34" fillId="3" borderId="19" xfId="0" applyNumberFormat="1" applyFont="1" applyFill="1" applyBorder="1"/>
    <xf numFmtId="0" fontId="33" fillId="4" borderId="1" xfId="0" applyFont="1" applyFill="1" applyBorder="1"/>
    <xf numFmtId="37" fontId="34" fillId="4" borderId="15" xfId="0" applyNumberFormat="1" applyFont="1" applyFill="1" applyBorder="1"/>
    <xf numFmtId="0" fontId="33" fillId="4" borderId="12" xfId="0" applyFont="1" applyFill="1" applyBorder="1"/>
    <xf numFmtId="0" fontId="33" fillId="4" borderId="13" xfId="0" applyFont="1" applyFill="1" applyBorder="1"/>
    <xf numFmtId="0" fontId="33" fillId="4" borderId="22" xfId="0" applyFont="1" applyFill="1" applyBorder="1"/>
    <xf numFmtId="37" fontId="34" fillId="4" borderId="19" xfId="0" applyNumberFormat="1" applyFont="1" applyFill="1" applyBorder="1"/>
    <xf numFmtId="0" fontId="37" fillId="0" borderId="0" xfId="0" applyFont="1"/>
    <xf numFmtId="0" fontId="38" fillId="0" borderId="0" xfId="0" applyFont="1"/>
    <xf numFmtId="37" fontId="38" fillId="0" borderId="0" xfId="0" applyNumberFormat="1" applyFont="1"/>
    <xf numFmtId="0" fontId="34" fillId="0" borderId="0" xfId="0" applyFont="1"/>
    <xf numFmtId="37" fontId="31" fillId="0" borderId="0" xfId="0" applyNumberFormat="1" applyFont="1"/>
    <xf numFmtId="37" fontId="34" fillId="4" borderId="14" xfId="0" applyNumberFormat="1" applyFont="1" applyFill="1" applyBorder="1"/>
    <xf numFmtId="37" fontId="34" fillId="4" borderId="9" xfId="0" applyNumberFormat="1" applyFont="1" applyFill="1" applyBorder="1"/>
    <xf numFmtId="37" fontId="34" fillId="4" borderId="8" xfId="0" applyNumberFormat="1" applyFont="1" applyFill="1" applyBorder="1"/>
    <xf numFmtId="171" fontId="34" fillId="4" borderId="8" xfId="0" applyNumberFormat="1" applyFont="1" applyFill="1" applyBorder="1"/>
    <xf numFmtId="37" fontId="34" fillId="4" borderId="22" xfId="0" applyNumberFormat="1" applyFont="1" applyFill="1" applyBorder="1"/>
    <xf numFmtId="171" fontId="34" fillId="4" borderId="19" xfId="0" applyNumberFormat="1" applyFont="1" applyFill="1" applyBorder="1"/>
    <xf numFmtId="37" fontId="34" fillId="4" borderId="13" xfId="0" applyNumberFormat="1" applyFont="1" applyFill="1" applyBorder="1"/>
    <xf numFmtId="39" fontId="34" fillId="4" borderId="22" xfId="0" applyNumberFormat="1" applyFont="1" applyFill="1" applyBorder="1"/>
    <xf numFmtId="37" fontId="34" fillId="4" borderId="24" xfId="0" applyNumberFormat="1" applyFont="1" applyFill="1" applyBorder="1"/>
    <xf numFmtId="172" fontId="34" fillId="4" borderId="24" xfId="0" applyNumberFormat="1" applyFont="1" applyFill="1" applyBorder="1"/>
    <xf numFmtId="37" fontId="34" fillId="4" borderId="25" xfId="0" applyNumberFormat="1" applyFont="1" applyFill="1" applyBorder="1"/>
    <xf numFmtId="37" fontId="34" fillId="4" borderId="23" xfId="0" applyNumberFormat="1" applyFont="1" applyFill="1" applyBorder="1"/>
    <xf numFmtId="171" fontId="34" fillId="3" borderId="8" xfId="0" applyNumberFormat="1" applyFont="1" applyFill="1" applyBorder="1"/>
    <xf numFmtId="171" fontId="34" fillId="3" borderId="14" xfId="0" applyNumberFormat="1" applyFont="1" applyFill="1" applyBorder="1"/>
    <xf numFmtId="171" fontId="34" fillId="3" borderId="26" xfId="0" applyNumberFormat="1" applyFont="1" applyFill="1" applyBorder="1"/>
    <xf numFmtId="37" fontId="34" fillId="3" borderId="27" xfId="0" applyNumberFormat="1" applyFont="1" applyFill="1" applyBorder="1"/>
    <xf numFmtId="37" fontId="34" fillId="3" borderId="29" xfId="0" applyNumberFormat="1" applyFont="1" applyFill="1" applyBorder="1"/>
    <xf numFmtId="172" fontId="34" fillId="3" borderId="29" xfId="0" applyNumberFormat="1" applyFont="1" applyFill="1" applyBorder="1"/>
    <xf numFmtId="37" fontId="34" fillId="3" borderId="30" xfId="0" applyNumberFormat="1" applyFont="1" applyFill="1" applyBorder="1"/>
    <xf numFmtId="37" fontId="34" fillId="3" borderId="28" xfId="0" applyNumberFormat="1" applyFont="1" applyFill="1" applyBorder="1"/>
    <xf numFmtId="0" fontId="33" fillId="3" borderId="10" xfId="0" applyFont="1" applyFill="1" applyBorder="1"/>
    <xf numFmtId="0" fontId="41" fillId="0" borderId="0" xfId="0" applyFont="1"/>
    <xf numFmtId="0" fontId="30" fillId="0" borderId="0" xfId="0" applyFont="1" applyAlignment="1">
      <alignment horizontal="right" vertical="center"/>
    </xf>
    <xf numFmtId="0" fontId="42" fillId="3" borderId="22" xfId="0" applyFont="1" applyFill="1" applyBorder="1"/>
    <xf numFmtId="37" fontId="42" fillId="3" borderId="32" xfId="0" applyNumberFormat="1" applyFont="1" applyFill="1" applyBorder="1"/>
    <xf numFmtId="37" fontId="42" fillId="3" borderId="33" xfId="0" applyNumberFormat="1" applyFont="1" applyFill="1" applyBorder="1"/>
    <xf numFmtId="37" fontId="42" fillId="3" borderId="22" xfId="0" applyNumberFormat="1" applyFont="1" applyFill="1" applyBorder="1"/>
    <xf numFmtId="171" fontId="42" fillId="3" borderId="22" xfId="0" applyNumberFormat="1" applyFont="1" applyFill="1" applyBorder="1"/>
    <xf numFmtId="37" fontId="42" fillId="3" borderId="34" xfId="0" applyNumberFormat="1" applyFont="1" applyFill="1" applyBorder="1"/>
    <xf numFmtId="37" fontId="36" fillId="0" borderId="35" xfId="0" applyNumberFormat="1" applyFont="1" applyBorder="1"/>
    <xf numFmtId="0" fontId="42" fillId="3" borderId="17" xfId="0" applyFont="1" applyFill="1" applyBorder="1"/>
    <xf numFmtId="171" fontId="42" fillId="3" borderId="17" xfId="0" applyNumberFormat="1" applyFont="1" applyFill="1" applyBorder="1"/>
    <xf numFmtId="37" fontId="42" fillId="3" borderId="21" xfId="0" applyNumberFormat="1" applyFont="1" applyFill="1" applyBorder="1"/>
    <xf numFmtId="171" fontId="42" fillId="3" borderId="20" xfId="0" applyNumberFormat="1" applyFont="1" applyFill="1" applyBorder="1"/>
    <xf numFmtId="0" fontId="42" fillId="3" borderId="20" xfId="0" applyFont="1" applyFill="1" applyBorder="1"/>
    <xf numFmtId="37" fontId="42" fillId="3" borderId="17" xfId="0" applyNumberFormat="1" applyFont="1" applyFill="1" applyBorder="1"/>
    <xf numFmtId="0" fontId="42" fillId="3" borderId="36" xfId="0" applyFont="1" applyFill="1" applyBorder="1"/>
    <xf numFmtId="166" fontId="31" fillId="0" borderId="0" xfId="0" applyNumberFormat="1" applyFont="1"/>
    <xf numFmtId="166" fontId="41" fillId="0" borderId="0" xfId="0" applyNumberFormat="1" applyFont="1"/>
    <xf numFmtId="171" fontId="36" fillId="0" borderId="35" xfId="0" applyNumberFormat="1" applyFont="1" applyBorder="1"/>
    <xf numFmtId="172" fontId="42" fillId="3" borderId="17" xfId="0" applyNumberFormat="1" applyFont="1" applyFill="1" applyBorder="1"/>
    <xf numFmtId="37" fontId="42" fillId="3" borderId="20" xfId="0" applyNumberFormat="1" applyFont="1" applyFill="1" applyBorder="1"/>
    <xf numFmtId="37" fontId="42" fillId="3" borderId="36" xfId="0" applyNumberFormat="1" applyFont="1" applyFill="1" applyBorder="1"/>
    <xf numFmtId="37" fontId="41" fillId="0" borderId="0" xfId="0" applyNumberFormat="1" applyFont="1"/>
    <xf numFmtId="169" fontId="41" fillId="0" borderId="0" xfId="0" applyNumberFormat="1" applyFont="1"/>
    <xf numFmtId="0" fontId="36" fillId="3" borderId="17" xfId="0" applyFont="1" applyFill="1" applyBorder="1"/>
    <xf numFmtId="0" fontId="41" fillId="4" borderId="1" xfId="0" applyFont="1" applyFill="1" applyBorder="1"/>
    <xf numFmtId="0" fontId="36" fillId="0" borderId="35" xfId="0" applyFont="1" applyBorder="1"/>
    <xf numFmtId="37" fontId="36" fillId="4" borderId="37" xfId="0" applyNumberFormat="1" applyFont="1" applyFill="1" applyBorder="1"/>
    <xf numFmtId="0" fontId="42" fillId="4" borderId="24" xfId="0" applyFont="1" applyFill="1" applyBorder="1"/>
    <xf numFmtId="37" fontId="42" fillId="4" borderId="24" xfId="0" applyNumberFormat="1" applyFont="1" applyFill="1" applyBorder="1"/>
    <xf numFmtId="171" fontId="36" fillId="3" borderId="20" xfId="0" applyNumberFormat="1" applyFont="1" applyFill="1" applyBorder="1"/>
    <xf numFmtId="171" fontId="36" fillId="3" borderId="17" xfId="0" applyNumberFormat="1" applyFont="1" applyFill="1" applyBorder="1"/>
    <xf numFmtId="37" fontId="36" fillId="3" borderId="36" xfId="0" applyNumberFormat="1" applyFont="1" applyFill="1" applyBorder="1"/>
    <xf numFmtId="0" fontId="36" fillId="4" borderId="24" xfId="0" applyFont="1" applyFill="1" applyBorder="1"/>
    <xf numFmtId="37" fontId="36" fillId="4" borderId="24" xfId="0" applyNumberFormat="1" applyFont="1" applyFill="1" applyBorder="1"/>
    <xf numFmtId="37" fontId="36" fillId="4" borderId="38" xfId="0" applyNumberFormat="1" applyFont="1" applyFill="1" applyBorder="1"/>
    <xf numFmtId="37" fontId="36" fillId="4" borderId="1" xfId="0" applyNumberFormat="1" applyFont="1" applyFill="1" applyBorder="1"/>
    <xf numFmtId="171" fontId="36" fillId="4" borderId="1" xfId="0" applyNumberFormat="1" applyFont="1" applyFill="1" applyBorder="1"/>
    <xf numFmtId="171" fontId="36" fillId="4" borderId="38" xfId="0" applyNumberFormat="1" applyFont="1" applyFill="1" applyBorder="1"/>
    <xf numFmtId="171" fontId="36" fillId="4" borderId="24" xfId="0" applyNumberFormat="1" applyFont="1" applyFill="1" applyBorder="1"/>
    <xf numFmtId="37" fontId="36" fillId="4" borderId="42" xfId="0" applyNumberFormat="1" applyFont="1" applyFill="1" applyBorder="1"/>
    <xf numFmtId="39" fontId="36" fillId="0" borderId="0" xfId="0" applyNumberFormat="1" applyFont="1"/>
    <xf numFmtId="37" fontId="41" fillId="0" borderId="35" xfId="0" applyNumberFormat="1" applyFont="1" applyBorder="1"/>
    <xf numFmtId="0" fontId="41" fillId="0" borderId="35" xfId="0" applyFont="1" applyBorder="1"/>
    <xf numFmtId="0" fontId="41" fillId="0" borderId="40" xfId="0" applyFont="1" applyBorder="1"/>
    <xf numFmtId="0" fontId="43" fillId="0" borderId="0" xfId="0" applyFont="1"/>
    <xf numFmtId="37" fontId="43" fillId="0" borderId="0" xfId="0" applyNumberFormat="1" applyFont="1"/>
    <xf numFmtId="37" fontId="42" fillId="0" borderId="0" xfId="0" applyNumberFormat="1" applyFont="1"/>
    <xf numFmtId="37" fontId="44" fillId="0" borderId="0" xfId="0" applyNumberFormat="1" applyFont="1"/>
    <xf numFmtId="0" fontId="43" fillId="4" borderId="1" xfId="0" applyFont="1" applyFill="1" applyBorder="1"/>
    <xf numFmtId="37" fontId="41" fillId="4" borderId="1" xfId="0" applyNumberFormat="1" applyFont="1" applyFill="1" applyBorder="1"/>
    <xf numFmtId="0" fontId="45" fillId="4" borderId="1" xfId="0" applyFont="1" applyFill="1" applyBorder="1"/>
    <xf numFmtId="37" fontId="43" fillId="4" borderId="1" xfId="0" applyNumberFormat="1" applyFont="1" applyFill="1" applyBorder="1"/>
    <xf numFmtId="0" fontId="46" fillId="4" borderId="1" xfId="0" applyFont="1" applyFill="1" applyBorder="1" applyAlignment="1">
      <alignment horizontal="center" vertical="center"/>
    </xf>
    <xf numFmtId="0" fontId="41" fillId="4" borderId="1" xfId="0" applyFont="1" applyFill="1" applyBorder="1" applyAlignment="1">
      <alignment horizontal="center" vertical="center"/>
    </xf>
    <xf numFmtId="170" fontId="47" fillId="4" borderId="1" xfId="0" applyNumberFormat="1" applyFont="1" applyFill="1" applyBorder="1" applyAlignment="1">
      <alignment horizontal="right"/>
    </xf>
    <xf numFmtId="0" fontId="43" fillId="4" borderId="1" xfId="0" applyFont="1" applyFill="1" applyBorder="1" applyAlignment="1">
      <alignment horizontal="center"/>
    </xf>
    <xf numFmtId="0" fontId="41" fillId="4" borderId="1" xfId="0" applyFont="1" applyFill="1" applyBorder="1" applyAlignment="1">
      <alignment horizontal="center"/>
    </xf>
    <xf numFmtId="0" fontId="47" fillId="4" borderId="1" xfId="0" applyFont="1" applyFill="1" applyBorder="1" applyAlignment="1">
      <alignment horizontal="center"/>
    </xf>
    <xf numFmtId="0" fontId="47" fillId="4" borderId="1" xfId="0" applyFont="1" applyFill="1" applyBorder="1"/>
    <xf numFmtId="171" fontId="41" fillId="4" borderId="1" xfId="0" applyNumberFormat="1" applyFont="1" applyFill="1" applyBorder="1"/>
    <xf numFmtId="9" fontId="41" fillId="4" borderId="1" xfId="0" applyNumberFormat="1" applyFont="1" applyFill="1" applyBorder="1"/>
    <xf numFmtId="171" fontId="43" fillId="4" borderId="1" xfId="0" applyNumberFormat="1" applyFont="1" applyFill="1" applyBorder="1"/>
    <xf numFmtId="0" fontId="48" fillId="4" borderId="1" xfId="0" applyFont="1" applyFill="1" applyBorder="1"/>
    <xf numFmtId="0" fontId="46" fillId="4" borderId="1" xfId="0" applyFont="1" applyFill="1" applyBorder="1" applyAlignment="1">
      <alignment horizontal="center"/>
    </xf>
    <xf numFmtId="170" fontId="41" fillId="4" borderId="1" xfId="0" applyNumberFormat="1" applyFont="1" applyFill="1" applyBorder="1" applyAlignment="1">
      <alignment horizontal="center"/>
    </xf>
    <xf numFmtId="0" fontId="49" fillId="4" borderId="1" xfId="0" applyFont="1" applyFill="1" applyBorder="1" applyAlignment="1">
      <alignment horizontal="center"/>
    </xf>
    <xf numFmtId="0" fontId="47" fillId="4" borderId="1" xfId="0" applyFont="1" applyFill="1" applyBorder="1" applyAlignment="1">
      <alignment horizontal="left"/>
    </xf>
    <xf numFmtId="0" fontId="50" fillId="4" borderId="1" xfId="0" applyFont="1" applyFill="1" applyBorder="1"/>
    <xf numFmtId="0" fontId="51" fillId="0" borderId="0" xfId="0" applyFont="1" applyAlignment="1">
      <alignment horizontal="center" vertical="top"/>
    </xf>
    <xf numFmtId="0" fontId="52" fillId="6" borderId="43" xfId="0" applyFont="1" applyFill="1" applyBorder="1" applyAlignment="1">
      <alignment horizontal="center" vertical="center" wrapText="1"/>
    </xf>
    <xf numFmtId="1" fontId="23" fillId="0" borderId="0" xfId="0" applyNumberFormat="1" applyFont="1" applyAlignment="1">
      <alignment horizontal="left" vertical="top"/>
    </xf>
    <xf numFmtId="49" fontId="23" fillId="0" borderId="0" xfId="0" applyNumberFormat="1" applyFont="1" applyAlignment="1">
      <alignment horizontal="left" vertical="top"/>
    </xf>
    <xf numFmtId="4" fontId="23" fillId="0" borderId="0" xfId="0" applyNumberFormat="1" applyFont="1" applyAlignment="1">
      <alignment horizontal="center" vertical="top"/>
    </xf>
    <xf numFmtId="0" fontId="23" fillId="7" borderId="1" xfId="0" applyFont="1" applyFill="1" applyBorder="1" applyAlignment="1">
      <alignment horizontal="center"/>
    </xf>
    <xf numFmtId="0" fontId="31" fillId="0" borderId="0" xfId="0" applyFont="1" applyAlignment="1">
      <alignment horizontal="center"/>
    </xf>
    <xf numFmtId="0" fontId="0" fillId="0" borderId="0" xfId="0" applyFont="1" applyAlignment="1">
      <alignment horizontal="center"/>
    </xf>
    <xf numFmtId="0" fontId="22" fillId="9" borderId="1" xfId="0" applyFont="1" applyFill="1" applyBorder="1"/>
    <xf numFmtId="0" fontId="53" fillId="0" borderId="0" xfId="0" applyFont="1"/>
    <xf numFmtId="0" fontId="23" fillId="9" borderId="1" xfId="0" applyFont="1" applyFill="1" applyBorder="1"/>
    <xf numFmtId="0" fontId="23" fillId="0" borderId="0" xfId="0" applyFont="1"/>
    <xf numFmtId="39" fontId="54" fillId="10" borderId="47" xfId="0" applyNumberFormat="1" applyFont="1" applyFill="1" applyBorder="1" applyAlignment="1">
      <alignment horizontal="left" vertical="top"/>
    </xf>
    <xf numFmtId="0" fontId="55" fillId="10" borderId="47" xfId="0" applyFont="1" applyFill="1" applyBorder="1" applyAlignment="1">
      <alignment horizontal="left" vertical="top"/>
    </xf>
    <xf numFmtId="1" fontId="55" fillId="10" borderId="47" xfId="0" applyNumberFormat="1" applyFont="1" applyFill="1" applyBorder="1" applyAlignment="1">
      <alignment horizontal="left" vertical="top"/>
    </xf>
    <xf numFmtId="49" fontId="54" fillId="10" borderId="47" xfId="0" applyNumberFormat="1" applyFont="1" applyFill="1" applyBorder="1" applyAlignment="1">
      <alignment horizontal="left" vertical="top"/>
    </xf>
    <xf numFmtId="49" fontId="54" fillId="10" borderId="44" xfId="0" applyNumberFormat="1" applyFont="1" applyFill="1" applyBorder="1" applyAlignment="1">
      <alignment horizontal="left" vertical="top"/>
    </xf>
    <xf numFmtId="0" fontId="54" fillId="10" borderId="47" xfId="0" applyFont="1" applyFill="1" applyBorder="1" applyAlignment="1">
      <alignment horizontal="left" vertical="top"/>
    </xf>
    <xf numFmtId="0" fontId="54" fillId="8" borderId="47" xfId="0" applyFont="1" applyFill="1" applyBorder="1" applyAlignment="1">
      <alignment horizontal="left" vertical="top"/>
    </xf>
    <xf numFmtId="0" fontId="55" fillId="5" borderId="47" xfId="0" applyFont="1" applyFill="1" applyBorder="1" applyAlignment="1">
      <alignment horizontal="left" vertical="top"/>
    </xf>
    <xf numFmtId="0" fontId="54" fillId="5" borderId="47" xfId="0" applyFont="1" applyFill="1" applyBorder="1" applyAlignment="1">
      <alignment horizontal="left" vertical="top"/>
    </xf>
    <xf numFmtId="0" fontId="54" fillId="5" borderId="1" xfId="0" applyFont="1" applyFill="1" applyBorder="1" applyAlignment="1">
      <alignment horizontal="left" vertical="top"/>
    </xf>
    <xf numFmtId="0" fontId="55" fillId="10" borderId="1" xfId="0" applyFont="1" applyFill="1" applyBorder="1" applyAlignment="1">
      <alignment horizontal="left" vertical="top"/>
    </xf>
    <xf numFmtId="3" fontId="33" fillId="0" borderId="50" xfId="0" applyNumberFormat="1" applyFont="1" applyBorder="1"/>
    <xf numFmtId="0" fontId="33" fillId="0" borderId="1" xfId="0" applyFont="1" applyBorder="1"/>
    <xf numFmtId="3" fontId="33" fillId="0" borderId="1" xfId="0" applyNumberFormat="1" applyFont="1" applyBorder="1"/>
    <xf numFmtId="3" fontId="33" fillId="0" borderId="15" xfId="0" applyNumberFormat="1" applyFont="1" applyBorder="1"/>
    <xf numFmtId="3" fontId="33" fillId="0" borderId="51" xfId="0" applyNumberFormat="1" applyFont="1" applyBorder="1"/>
    <xf numFmtId="3" fontId="33" fillId="0" borderId="12" xfId="0" applyNumberFormat="1" applyFont="1" applyBorder="1"/>
    <xf numFmtId="3" fontId="33" fillId="0" borderId="52" xfId="0" applyNumberFormat="1" applyFont="1" applyBorder="1"/>
    <xf numFmtId="3" fontId="33" fillId="0" borderId="53" xfId="0" applyNumberFormat="1" applyFont="1" applyBorder="1"/>
    <xf numFmtId="2" fontId="33" fillId="0" borderId="1" xfId="0" applyNumberFormat="1" applyFont="1" applyBorder="1"/>
    <xf numFmtId="3" fontId="33" fillId="0" borderId="54" xfId="0" applyNumberFormat="1" applyFont="1" applyBorder="1"/>
    <xf numFmtId="0" fontId="0" fillId="0" borderId="0" xfId="0" applyFont="1" applyAlignment="1"/>
    <xf numFmtId="0" fontId="23" fillId="0" borderId="0" xfId="0" applyFont="1" applyAlignment="1">
      <alignment horizontal="center"/>
    </xf>
    <xf numFmtId="0" fontId="0" fillId="0" borderId="0" xfId="0" applyFont="1" applyAlignment="1"/>
    <xf numFmtId="37" fontId="33" fillId="0" borderId="53" xfId="0" applyNumberFormat="1" applyFont="1" applyBorder="1"/>
    <xf numFmtId="172" fontId="33" fillId="0" borderId="53" xfId="0" applyNumberFormat="1" applyFont="1" applyBorder="1"/>
    <xf numFmtId="171" fontId="33" fillId="0" borderId="50" xfId="0" applyNumberFormat="1" applyFont="1" applyBorder="1"/>
    <xf numFmtId="0" fontId="33" fillId="0" borderId="53" xfId="0" applyFont="1" applyBorder="1" applyAlignment="1">
      <alignment horizontal="center"/>
    </xf>
    <xf numFmtId="0" fontId="33" fillId="0" borderId="50" xfId="0" applyFont="1" applyBorder="1" applyAlignment="1">
      <alignment horizontal="center"/>
    </xf>
    <xf numFmtId="171" fontId="33" fillId="0" borderId="53" xfId="0" applyNumberFormat="1" applyFont="1" applyBorder="1"/>
    <xf numFmtId="37" fontId="33" fillId="0" borderId="50" xfId="0" applyNumberFormat="1" applyFont="1" applyBorder="1"/>
    <xf numFmtId="37" fontId="33" fillId="0" borderId="1" xfId="0" applyNumberFormat="1" applyFont="1" applyBorder="1"/>
    <xf numFmtId="37" fontId="34" fillId="0" borderId="24" xfId="0" applyNumberFormat="1" applyFont="1" applyBorder="1"/>
    <xf numFmtId="37" fontId="33" fillId="0" borderId="55" xfId="0" applyNumberFormat="1" applyFont="1" applyBorder="1"/>
    <xf numFmtId="37" fontId="34" fillId="0" borderId="56" xfId="0" applyNumberFormat="1" applyFont="1" applyBorder="1"/>
    <xf numFmtId="37" fontId="33" fillId="0" borderId="56" xfId="0" applyNumberFormat="1" applyFont="1" applyBorder="1"/>
    <xf numFmtId="37" fontId="33" fillId="0" borderId="58" xfId="0" applyNumberFormat="1" applyFont="1" applyBorder="1"/>
    <xf numFmtId="37" fontId="33" fillId="11" borderId="1" xfId="0" applyNumberFormat="1" applyFont="1" applyFill="1" applyBorder="1"/>
    <xf numFmtId="171" fontId="34" fillId="3" borderId="1" xfId="0" applyNumberFormat="1" applyFont="1" applyFill="1" applyBorder="1"/>
    <xf numFmtId="0" fontId="33" fillId="0" borderId="60" xfId="0" applyFont="1" applyBorder="1" applyAlignment="1">
      <alignment horizontal="center"/>
    </xf>
    <xf numFmtId="0" fontId="33" fillId="0" borderId="59" xfId="0" applyFont="1" applyBorder="1" applyAlignment="1">
      <alignment horizontal="center"/>
    </xf>
    <xf numFmtId="0" fontId="33" fillId="0" borderId="61" xfId="0" applyFont="1" applyBorder="1" applyAlignment="1">
      <alignment horizontal="center"/>
    </xf>
    <xf numFmtId="37" fontId="33" fillId="11" borderId="62" xfId="0" applyNumberFormat="1" applyFont="1" applyFill="1" applyBorder="1"/>
    <xf numFmtId="37" fontId="33" fillId="0" borderId="61" xfId="0" applyNumberFormat="1" applyFont="1" applyBorder="1"/>
    <xf numFmtId="171" fontId="33" fillId="0" borderId="1" xfId="0" applyNumberFormat="1" applyFont="1" applyBorder="1"/>
    <xf numFmtId="37" fontId="33" fillId="0" borderId="52" xfId="0" applyNumberFormat="1" applyFont="1" applyBorder="1"/>
    <xf numFmtId="0" fontId="33" fillId="0" borderId="52" xfId="0" applyFont="1" applyBorder="1" applyAlignment="1">
      <alignment horizontal="center"/>
    </xf>
    <xf numFmtId="171" fontId="36" fillId="0" borderId="56" xfId="0" applyNumberFormat="1" applyFont="1" applyBorder="1"/>
    <xf numFmtId="171" fontId="36" fillId="0" borderId="55" xfId="0" applyNumberFormat="1" applyFont="1" applyBorder="1"/>
    <xf numFmtId="171" fontId="36" fillId="0" borderId="63" xfId="0" applyNumberFormat="1" applyFont="1" applyBorder="1"/>
    <xf numFmtId="171" fontId="62" fillId="0" borderId="55" xfId="0" applyNumberFormat="1" applyFont="1" applyBorder="1"/>
    <xf numFmtId="37" fontId="42" fillId="3" borderId="64" xfId="0" applyNumberFormat="1" applyFont="1" applyFill="1" applyBorder="1"/>
    <xf numFmtId="37" fontId="42" fillId="3" borderId="65" xfId="0" applyNumberFormat="1" applyFont="1" applyFill="1" applyBorder="1"/>
    <xf numFmtId="0" fontId="41" fillId="0" borderId="1" xfId="0" applyFont="1" applyBorder="1"/>
    <xf numFmtId="3" fontId="33" fillId="11" borderId="67" xfId="0" applyNumberFormat="1" applyFont="1" applyFill="1" applyBorder="1"/>
    <xf numFmtId="3" fontId="33" fillId="11" borderId="68" xfId="0" applyNumberFormat="1" applyFont="1" applyFill="1" applyBorder="1"/>
    <xf numFmtId="0" fontId="33" fillId="0" borderId="0" xfId="0" applyFont="1" applyFill="1"/>
    <xf numFmtId="37" fontId="34" fillId="0" borderId="24" xfId="0" applyNumberFormat="1" applyFont="1" applyFill="1" applyBorder="1"/>
    <xf numFmtId="172" fontId="34" fillId="0" borderId="24" xfId="0" applyNumberFormat="1" applyFont="1" applyFill="1" applyBorder="1"/>
    <xf numFmtId="37" fontId="34" fillId="0" borderId="25" xfId="0" applyNumberFormat="1" applyFont="1" applyFill="1" applyBorder="1"/>
    <xf numFmtId="37" fontId="34" fillId="0" borderId="23" xfId="0" applyNumberFormat="1" applyFont="1" applyFill="1" applyBorder="1"/>
    <xf numFmtId="0" fontId="33" fillId="0" borderId="12" xfId="0" applyFont="1" applyFill="1" applyBorder="1"/>
    <xf numFmtId="37" fontId="33" fillId="0" borderId="1" xfId="0" applyNumberFormat="1" applyFont="1" applyFill="1" applyBorder="1"/>
    <xf numFmtId="37" fontId="33" fillId="0" borderId="0" xfId="0" applyNumberFormat="1" applyFont="1" applyFill="1"/>
    <xf numFmtId="37" fontId="33" fillId="0" borderId="12" xfId="0" applyNumberFormat="1" applyFont="1" applyFill="1" applyBorder="1"/>
    <xf numFmtId="3" fontId="33" fillId="0" borderId="1" xfId="0" applyNumberFormat="1" applyFont="1" applyFill="1" applyBorder="1"/>
    <xf numFmtId="37" fontId="33" fillId="0" borderId="15" xfId="0" applyNumberFormat="1" applyFont="1" applyFill="1" applyBorder="1"/>
    <xf numFmtId="0" fontId="33" fillId="0" borderId="1" xfId="0" applyFont="1" applyFill="1" applyBorder="1"/>
    <xf numFmtId="172" fontId="33" fillId="0" borderId="1" xfId="0" applyNumberFormat="1" applyFont="1" applyFill="1" applyBorder="1"/>
    <xf numFmtId="171" fontId="33" fillId="0" borderId="15" xfId="0" applyNumberFormat="1" applyFont="1" applyFill="1" applyBorder="1"/>
    <xf numFmtId="37" fontId="34" fillId="0" borderId="12" xfId="0" applyNumberFormat="1" applyFont="1" applyFill="1" applyBorder="1"/>
    <xf numFmtId="172" fontId="34" fillId="0" borderId="1" xfId="0" applyNumberFormat="1" applyFont="1" applyFill="1" applyBorder="1"/>
    <xf numFmtId="37" fontId="34" fillId="0" borderId="15" xfId="0" applyNumberFormat="1" applyFont="1" applyFill="1" applyBorder="1"/>
    <xf numFmtId="37" fontId="34" fillId="0" borderId="1" xfId="0" applyNumberFormat="1" applyFont="1" applyFill="1" applyBorder="1"/>
    <xf numFmtId="0" fontId="34" fillId="0" borderId="12" xfId="0" applyFont="1" applyFill="1" applyBorder="1"/>
    <xf numFmtId="0" fontId="34" fillId="0" borderId="1" xfId="0" applyFont="1" applyFill="1" applyBorder="1"/>
    <xf numFmtId="171" fontId="34" fillId="0" borderId="15" xfId="0" applyNumberFormat="1" applyFont="1" applyFill="1" applyBorder="1"/>
    <xf numFmtId="171" fontId="34" fillId="0" borderId="12" xfId="0" applyNumberFormat="1" applyFont="1" applyFill="1" applyBorder="1"/>
    <xf numFmtId="3" fontId="33" fillId="0" borderId="50" xfId="0" applyNumberFormat="1" applyFont="1" applyFill="1" applyBorder="1"/>
    <xf numFmtId="3" fontId="33" fillId="0" borderId="51" xfId="0" applyNumberFormat="1" applyFont="1" applyFill="1" applyBorder="1"/>
    <xf numFmtId="37" fontId="59" fillId="0" borderId="1" xfId="0" applyNumberFormat="1" applyFont="1" applyFill="1" applyBorder="1"/>
    <xf numFmtId="0" fontId="42" fillId="0" borderId="1" xfId="0" applyFont="1" applyFill="1" applyBorder="1"/>
    <xf numFmtId="37" fontId="36" fillId="0" borderId="37" xfId="0" applyNumberFormat="1" applyFont="1" applyFill="1" applyBorder="1"/>
    <xf numFmtId="171" fontId="42" fillId="0" borderId="24" xfId="0" applyNumberFormat="1" applyFont="1" applyFill="1" applyBorder="1"/>
    <xf numFmtId="0" fontId="42" fillId="0" borderId="24" xfId="0" applyFont="1" applyFill="1" applyBorder="1"/>
    <xf numFmtId="37" fontId="42" fillId="0" borderId="38" xfId="0" applyNumberFormat="1" applyFont="1" applyFill="1" applyBorder="1"/>
    <xf numFmtId="171" fontId="42" fillId="0" borderId="38" xfId="0" applyNumberFormat="1" applyFont="1" applyFill="1" applyBorder="1"/>
    <xf numFmtId="37" fontId="42" fillId="0" borderId="24" xfId="0" applyNumberFormat="1" applyFont="1" applyFill="1" applyBorder="1"/>
    <xf numFmtId="37" fontId="36" fillId="0" borderId="35" xfId="0" applyNumberFormat="1" applyFont="1" applyFill="1" applyBorder="1"/>
    <xf numFmtId="171" fontId="42" fillId="0" borderId="1" xfId="0" applyNumberFormat="1" applyFont="1" applyFill="1" applyBorder="1"/>
    <xf numFmtId="37" fontId="42" fillId="0" borderId="39" xfId="0" applyNumberFormat="1" applyFont="1" applyFill="1" applyBorder="1"/>
    <xf numFmtId="171" fontId="36" fillId="0" borderId="35" xfId="0" applyNumberFormat="1" applyFont="1" applyFill="1" applyBorder="1"/>
    <xf numFmtId="171" fontId="42" fillId="0" borderId="39" xfId="0" applyNumberFormat="1" applyFont="1" applyFill="1" applyBorder="1"/>
    <xf numFmtId="37" fontId="36" fillId="0" borderId="40" xfId="0" applyNumberFormat="1" applyFont="1" applyFill="1" applyBorder="1"/>
    <xf numFmtId="37" fontId="42" fillId="0" borderId="1" xfId="0" applyNumberFormat="1" applyFont="1" applyFill="1" applyBorder="1"/>
    <xf numFmtId="171" fontId="36" fillId="0" borderId="55" xfId="0" applyNumberFormat="1" applyFont="1" applyFill="1" applyBorder="1"/>
    <xf numFmtId="0" fontId="33" fillId="0" borderId="1" xfId="0" applyFont="1" applyFill="1" applyBorder="1" applyAlignment="1">
      <alignment horizontal="right"/>
    </xf>
    <xf numFmtId="0" fontId="33" fillId="0" borderId="68" xfId="0" applyFont="1" applyBorder="1"/>
    <xf numFmtId="0" fontId="33" fillId="0" borderId="70" xfId="0" applyFont="1" applyBorder="1"/>
    <xf numFmtId="0" fontId="33" fillId="0" borderId="12" xfId="0" applyFont="1" applyBorder="1" applyAlignment="1">
      <alignment horizontal="center"/>
    </xf>
    <xf numFmtId="0" fontId="33" fillId="0" borderId="1" xfId="0" applyFont="1" applyBorder="1" applyAlignment="1">
      <alignment horizontal="center"/>
    </xf>
    <xf numFmtId="0" fontId="33" fillId="0" borderId="15" xfId="0" applyFont="1" applyBorder="1" applyAlignment="1">
      <alignment horizontal="center"/>
    </xf>
    <xf numFmtId="0" fontId="33" fillId="0" borderId="55" xfId="0" applyFont="1" applyBorder="1" applyAlignment="1">
      <alignment horizontal="center"/>
    </xf>
    <xf numFmtId="0" fontId="34" fillId="3" borderId="71" xfId="0" applyFont="1" applyFill="1" applyBorder="1"/>
    <xf numFmtId="37" fontId="34" fillId="3" borderId="72" xfId="0" applyNumberFormat="1" applyFont="1" applyFill="1" applyBorder="1"/>
    <xf numFmtId="0" fontId="34" fillId="3" borderId="73" xfId="0" applyFont="1" applyFill="1" applyBorder="1"/>
    <xf numFmtId="171" fontId="34" fillId="3" borderId="74" xfId="0" applyNumberFormat="1" applyFont="1" applyFill="1" applyBorder="1"/>
    <xf numFmtId="0" fontId="34" fillId="0" borderId="70" xfId="0" applyFont="1" applyFill="1" applyBorder="1"/>
    <xf numFmtId="171" fontId="33" fillId="0" borderId="15" xfId="1" applyNumberFormat="1" applyFont="1" applyFill="1" applyBorder="1"/>
    <xf numFmtId="171" fontId="34" fillId="0" borderId="55" xfId="0" applyNumberFormat="1" applyFont="1" applyFill="1" applyBorder="1"/>
    <xf numFmtId="0" fontId="34" fillId="0" borderId="70" xfId="0" applyFont="1" applyFill="1" applyBorder="1" applyAlignment="1">
      <alignment horizontal="left"/>
    </xf>
    <xf numFmtId="0" fontId="58" fillId="0" borderId="1" xfId="0" applyFont="1" applyFill="1" applyBorder="1"/>
    <xf numFmtId="0" fontId="33" fillId="0" borderId="15" xfId="0" applyFont="1" applyFill="1" applyBorder="1"/>
    <xf numFmtId="0" fontId="33" fillId="0" borderId="55" xfId="0" applyFont="1" applyFill="1" applyBorder="1"/>
    <xf numFmtId="0" fontId="36" fillId="0" borderId="70" xfId="0" applyFont="1" applyFill="1" applyBorder="1"/>
    <xf numFmtId="3" fontId="33" fillId="0" borderId="15" xfId="0" applyNumberFormat="1" applyFont="1" applyFill="1" applyBorder="1"/>
    <xf numFmtId="0" fontId="36" fillId="0" borderId="75" xfId="0" applyFont="1" applyFill="1" applyBorder="1"/>
    <xf numFmtId="0" fontId="33" fillId="0" borderId="12" xfId="0" applyFont="1" applyFill="1" applyBorder="1" applyAlignment="1">
      <alignment horizontal="right"/>
    </xf>
    <xf numFmtId="37" fontId="33" fillId="0" borderId="55" xfId="0" applyNumberFormat="1" applyFont="1" applyFill="1" applyBorder="1"/>
    <xf numFmtId="0" fontId="33" fillId="0" borderId="24" xfId="0" applyFont="1" applyFill="1" applyBorder="1" applyAlignment="1">
      <alignment horizontal="right"/>
    </xf>
    <xf numFmtId="0" fontId="33" fillId="0" borderId="24" xfId="0" applyFont="1" applyFill="1" applyBorder="1"/>
    <xf numFmtId="0" fontId="33" fillId="0" borderId="23" xfId="0" applyFont="1" applyFill="1" applyBorder="1" applyAlignment="1">
      <alignment horizontal="right"/>
    </xf>
    <xf numFmtId="0" fontId="33" fillId="0" borderId="23" xfId="0" applyFont="1" applyFill="1" applyBorder="1"/>
    <xf numFmtId="37" fontId="33" fillId="0" borderId="25" xfId="0" applyNumberFormat="1" applyFont="1" applyFill="1" applyBorder="1"/>
    <xf numFmtId="37" fontId="33" fillId="0" borderId="56" xfId="0" applyNumberFormat="1" applyFont="1" applyFill="1" applyBorder="1"/>
    <xf numFmtId="0" fontId="33" fillId="0" borderId="70" xfId="0" applyFont="1" applyFill="1" applyBorder="1"/>
    <xf numFmtId="0" fontId="33" fillId="0" borderId="22" xfId="0" applyFont="1" applyFill="1" applyBorder="1" applyAlignment="1">
      <alignment horizontal="right"/>
    </xf>
    <xf numFmtId="0" fontId="33" fillId="0" borderId="22" xfId="0" applyFont="1" applyFill="1" applyBorder="1"/>
    <xf numFmtId="0" fontId="33" fillId="0" borderId="13" xfId="0" applyFont="1" applyFill="1" applyBorder="1" applyAlignment="1">
      <alignment horizontal="right"/>
    </xf>
    <xf numFmtId="0" fontId="33" fillId="0" borderId="13" xfId="0" applyFont="1" applyFill="1" applyBorder="1"/>
    <xf numFmtId="37" fontId="33" fillId="0" borderId="19" xfId="0" applyNumberFormat="1" applyFont="1" applyFill="1" applyBorder="1"/>
    <xf numFmtId="37" fontId="33" fillId="0" borderId="58" xfId="0" applyNumberFormat="1" applyFont="1" applyFill="1" applyBorder="1"/>
    <xf numFmtId="0" fontId="34" fillId="3" borderId="76" xfId="0" applyFont="1" applyFill="1" applyBorder="1"/>
    <xf numFmtId="37" fontId="34" fillId="3" borderId="58" xfId="0" applyNumberFormat="1" applyFont="1" applyFill="1" applyBorder="1"/>
    <xf numFmtId="0" fontId="36" fillId="0" borderId="77" xfId="0" applyFont="1" applyBorder="1"/>
    <xf numFmtId="0" fontId="33" fillId="0" borderId="1" xfId="0" applyFont="1" applyBorder="1" applyAlignment="1">
      <alignment horizontal="right"/>
    </xf>
    <xf numFmtId="0" fontId="33" fillId="0" borderId="12" xfId="0" applyFont="1" applyBorder="1" applyAlignment="1">
      <alignment horizontal="right"/>
    </xf>
    <xf numFmtId="0" fontId="33" fillId="0" borderId="12" xfId="0" applyFont="1" applyBorder="1"/>
    <xf numFmtId="37" fontId="33" fillId="0" borderId="15" xfId="0" applyNumberFormat="1" applyFont="1" applyBorder="1"/>
    <xf numFmtId="0" fontId="36" fillId="0" borderId="70" xfId="0" applyFont="1" applyBorder="1"/>
    <xf numFmtId="0" fontId="36" fillId="0" borderId="75" xfId="0" applyFont="1" applyBorder="1"/>
    <xf numFmtId="0" fontId="33" fillId="0" borderId="22" xfId="0" applyFont="1" applyBorder="1" applyAlignment="1">
      <alignment horizontal="right"/>
    </xf>
    <xf numFmtId="0" fontId="33" fillId="0" borderId="22" xfId="0" applyFont="1" applyBorder="1"/>
    <xf numFmtId="0" fontId="33" fillId="0" borderId="13" xfId="0" applyFont="1" applyBorder="1" applyAlignment="1">
      <alignment horizontal="right"/>
    </xf>
    <xf numFmtId="0" fontId="33" fillId="0" borderId="13" xfId="0" applyFont="1" applyBorder="1"/>
    <xf numFmtId="37" fontId="33" fillId="0" borderId="19" xfId="0" applyNumberFormat="1" applyFont="1" applyBorder="1"/>
    <xf numFmtId="0" fontId="33" fillId="0" borderId="15" xfId="0" applyFont="1" applyBorder="1"/>
    <xf numFmtId="0" fontId="34" fillId="0" borderId="12" xfId="0" applyFont="1" applyBorder="1"/>
    <xf numFmtId="0" fontId="34" fillId="0" borderId="15" xfId="0" applyFont="1" applyBorder="1"/>
    <xf numFmtId="0" fontId="34" fillId="0" borderId="55" xfId="0" applyFont="1" applyBorder="1"/>
    <xf numFmtId="37" fontId="34" fillId="3" borderId="57" xfId="0" applyNumberFormat="1" applyFont="1" applyFill="1" applyBorder="1"/>
    <xf numFmtId="0" fontId="34" fillId="3" borderId="78" xfId="0" applyFont="1" applyFill="1" applyBorder="1"/>
    <xf numFmtId="0" fontId="34" fillId="3" borderId="64" xfId="0" applyFont="1" applyFill="1" applyBorder="1"/>
    <xf numFmtId="37" fontId="34" fillId="3" borderId="79" xfId="0" applyNumberFormat="1" applyFont="1" applyFill="1" applyBorder="1"/>
    <xf numFmtId="0" fontId="34" fillId="3" borderId="80" xfId="0" applyFont="1" applyFill="1" applyBorder="1"/>
    <xf numFmtId="0" fontId="33" fillId="3" borderId="80" xfId="0" applyFont="1" applyFill="1" applyBorder="1"/>
    <xf numFmtId="0" fontId="33" fillId="3" borderId="64" xfId="0" applyFont="1" applyFill="1" applyBorder="1"/>
    <xf numFmtId="37" fontId="34" fillId="3" borderId="81" xfId="0" applyNumberFormat="1" applyFont="1" applyFill="1" applyBorder="1"/>
    <xf numFmtId="171" fontId="33" fillId="0" borderId="12" xfId="0" applyNumberFormat="1" applyFont="1" applyBorder="1"/>
    <xf numFmtId="37" fontId="33" fillId="0" borderId="12" xfId="0" applyNumberFormat="1" applyFont="1" applyBorder="1"/>
    <xf numFmtId="0" fontId="33" fillId="0" borderId="75" xfId="0" applyFont="1" applyBorder="1"/>
    <xf numFmtId="0" fontId="34" fillId="0" borderId="70" xfId="0" applyFont="1" applyBorder="1"/>
    <xf numFmtId="171" fontId="34" fillId="0" borderId="24" xfId="0" applyNumberFormat="1" applyFont="1" applyBorder="1"/>
    <xf numFmtId="37" fontId="34" fillId="0" borderId="25" xfId="0" applyNumberFormat="1" applyFont="1" applyBorder="1"/>
    <xf numFmtId="171" fontId="34" fillId="0" borderId="23" xfId="0" applyNumberFormat="1" applyFont="1" applyBorder="1"/>
    <xf numFmtId="37" fontId="34" fillId="0" borderId="23" xfId="0" applyNumberFormat="1" applyFont="1" applyBorder="1"/>
    <xf numFmtId="171" fontId="34" fillId="0" borderId="15" xfId="0" applyNumberFormat="1" applyFont="1" applyBorder="1"/>
    <xf numFmtId="171" fontId="34" fillId="0" borderId="55" xfId="0" applyNumberFormat="1" applyFont="1" applyBorder="1"/>
    <xf numFmtId="0" fontId="33" fillId="0" borderId="19" xfId="0" applyFont="1" applyBorder="1"/>
    <xf numFmtId="0" fontId="58" fillId="0" borderId="22" xfId="0" applyFont="1" applyBorder="1"/>
    <xf numFmtId="171" fontId="34" fillId="0" borderId="19" xfId="0" applyNumberFormat="1" applyFont="1" applyBorder="1"/>
    <xf numFmtId="171" fontId="34" fillId="0" borderId="58" xfId="0" applyNumberFormat="1" applyFont="1" applyBorder="1"/>
    <xf numFmtId="171" fontId="33" fillId="0" borderId="22" xfId="0" applyNumberFormat="1" applyFont="1" applyBorder="1"/>
    <xf numFmtId="37" fontId="33" fillId="0" borderId="13" xfId="0" applyNumberFormat="1" applyFont="1" applyBorder="1"/>
    <xf numFmtId="0" fontId="34" fillId="3" borderId="82" xfId="0" applyFont="1" applyFill="1" applyBorder="1"/>
    <xf numFmtId="0" fontId="33" fillId="3" borderId="60" xfId="0" applyFont="1" applyFill="1" applyBorder="1" applyAlignment="1">
      <alignment horizontal="right"/>
    </xf>
    <xf numFmtId="0" fontId="33" fillId="3" borderId="60" xfId="0" applyFont="1" applyFill="1" applyBorder="1"/>
    <xf numFmtId="37" fontId="34" fillId="3" borderId="59" xfId="0" applyNumberFormat="1" applyFont="1" applyFill="1" applyBorder="1"/>
    <xf numFmtId="0" fontId="33" fillId="3" borderId="61" xfId="0" applyFont="1" applyFill="1" applyBorder="1" applyAlignment="1">
      <alignment horizontal="right"/>
    </xf>
    <xf numFmtId="0" fontId="34" fillId="3" borderId="61" xfId="0" applyFont="1" applyFill="1" applyBorder="1"/>
    <xf numFmtId="0" fontId="34" fillId="3" borderId="60" xfId="0" applyFont="1" applyFill="1" applyBorder="1"/>
    <xf numFmtId="37" fontId="34" fillId="3" borderId="83" xfId="0" applyNumberFormat="1" applyFont="1" applyFill="1" applyBorder="1"/>
    <xf numFmtId="1" fontId="33" fillId="0" borderId="12" xfId="0" applyNumberFormat="1" applyFont="1" applyBorder="1"/>
    <xf numFmtId="172" fontId="33" fillId="0" borderId="1" xfId="0" applyNumberFormat="1" applyFont="1" applyBorder="1"/>
    <xf numFmtId="171" fontId="33" fillId="0" borderId="15" xfId="0" applyNumberFormat="1" applyFont="1" applyBorder="1"/>
    <xf numFmtId="0" fontId="33" fillId="0" borderId="77" xfId="0" applyFont="1" applyBorder="1"/>
    <xf numFmtId="0" fontId="33" fillId="0" borderId="24" xfId="0" applyFont="1" applyBorder="1"/>
    <xf numFmtId="1" fontId="33" fillId="0" borderId="23" xfId="0" applyNumberFormat="1" applyFont="1" applyBorder="1"/>
    <xf numFmtId="37" fontId="33" fillId="0" borderId="23" xfId="0" applyNumberFormat="1" applyFont="1" applyBorder="1"/>
    <xf numFmtId="171" fontId="33" fillId="0" borderId="23" xfId="0" applyNumberFormat="1" applyFont="1" applyBorder="1"/>
    <xf numFmtId="37" fontId="33" fillId="0" borderId="25" xfId="0" applyNumberFormat="1" applyFont="1" applyBorder="1"/>
    <xf numFmtId="37" fontId="33" fillId="0" borderId="24" xfId="0" applyNumberFormat="1" applyFont="1" applyBorder="1"/>
    <xf numFmtId="172" fontId="33" fillId="0" borderId="22" xfId="0" applyNumberFormat="1" applyFont="1" applyBorder="1"/>
    <xf numFmtId="171" fontId="33" fillId="0" borderId="19" xfId="0" applyNumberFormat="1" applyFont="1" applyBorder="1"/>
    <xf numFmtId="2" fontId="33" fillId="0" borderId="22" xfId="0" applyNumberFormat="1" applyFont="1" applyBorder="1"/>
    <xf numFmtId="171" fontId="33" fillId="0" borderId="13" xfId="0" applyNumberFormat="1" applyFont="1" applyBorder="1"/>
    <xf numFmtId="171" fontId="34" fillId="0" borderId="12" xfId="0" applyNumberFormat="1" applyFont="1" applyBorder="1"/>
    <xf numFmtId="37" fontId="34" fillId="3" borderId="84" xfId="0" applyNumberFormat="1" applyFont="1" applyFill="1" applyBorder="1"/>
    <xf numFmtId="0" fontId="34" fillId="3" borderId="85" xfId="0" applyFont="1" applyFill="1" applyBorder="1"/>
    <xf numFmtId="0" fontId="34" fillId="3" borderId="31" xfId="0" applyFont="1" applyFill="1" applyBorder="1"/>
    <xf numFmtId="171" fontId="34" fillId="0" borderId="13" xfId="0" applyNumberFormat="1" applyFont="1" applyBorder="1"/>
    <xf numFmtId="173" fontId="33" fillId="0" borderId="1" xfId="0" applyNumberFormat="1" applyFont="1" applyBorder="1"/>
    <xf numFmtId="0" fontId="33" fillId="0" borderId="23" xfId="0" applyFont="1" applyBorder="1"/>
    <xf numFmtId="0" fontId="34" fillId="0" borderId="1" xfId="0" applyFont="1" applyBorder="1"/>
    <xf numFmtId="172" fontId="34" fillId="0" borderId="1" xfId="0" applyNumberFormat="1" applyFont="1" applyBorder="1"/>
    <xf numFmtId="37" fontId="34" fillId="0" borderId="12" xfId="0" applyNumberFormat="1" applyFont="1" applyBorder="1"/>
    <xf numFmtId="37" fontId="34" fillId="0" borderId="15" xfId="0" applyNumberFormat="1" applyFont="1" applyBorder="1"/>
    <xf numFmtId="37" fontId="34" fillId="0" borderId="55" xfId="0" applyNumberFormat="1" applyFont="1" applyBorder="1"/>
    <xf numFmtId="0" fontId="34" fillId="0" borderId="22" xfId="0" applyFont="1" applyBorder="1"/>
    <xf numFmtId="172" fontId="34" fillId="0" borderId="22" xfId="0" applyNumberFormat="1" applyFont="1" applyBorder="1"/>
    <xf numFmtId="0" fontId="34" fillId="0" borderId="13" xfId="0" applyFont="1" applyBorder="1"/>
    <xf numFmtId="37" fontId="34" fillId="0" borderId="13" xfId="0" applyNumberFormat="1" applyFont="1" applyBorder="1"/>
    <xf numFmtId="37" fontId="34" fillId="0" borderId="19" xfId="0" applyNumberFormat="1" applyFont="1" applyBorder="1"/>
    <xf numFmtId="37" fontId="34" fillId="0" borderId="58" xfId="0" applyNumberFormat="1" applyFont="1" applyBorder="1"/>
    <xf numFmtId="0" fontId="34" fillId="4" borderId="71" xfId="0" applyFont="1" applyFill="1" applyBorder="1"/>
    <xf numFmtId="171" fontId="60" fillId="0" borderId="12" xfId="0" applyNumberFormat="1" applyFont="1" applyBorder="1"/>
    <xf numFmtId="37" fontId="34" fillId="4" borderId="84" xfId="0" applyNumberFormat="1" applyFont="1" applyFill="1" applyBorder="1"/>
    <xf numFmtId="0" fontId="34" fillId="4" borderId="75" xfId="0" applyFont="1" applyFill="1" applyBorder="1"/>
    <xf numFmtId="0" fontId="34" fillId="0" borderId="77" xfId="0" applyFont="1" applyFill="1" applyBorder="1"/>
    <xf numFmtId="37" fontId="34" fillId="0" borderId="56" xfId="0" applyNumberFormat="1" applyFont="1" applyFill="1" applyBorder="1"/>
    <xf numFmtId="171" fontId="33" fillId="0" borderId="12" xfId="0" applyNumberFormat="1" applyFont="1" applyFill="1" applyBorder="1"/>
    <xf numFmtId="37" fontId="34" fillId="0" borderId="55" xfId="0" applyNumberFormat="1" applyFont="1" applyFill="1" applyBorder="1"/>
    <xf numFmtId="0" fontId="34" fillId="4" borderId="77" xfId="0" applyFont="1" applyFill="1" applyBorder="1"/>
    <xf numFmtId="37" fontId="34" fillId="4" borderId="56" xfId="0" applyNumberFormat="1" applyFont="1" applyFill="1" applyBorder="1"/>
    <xf numFmtId="0" fontId="34" fillId="0" borderId="70" xfId="0" applyFont="1" applyBorder="1" applyAlignment="1">
      <alignment horizontal="left"/>
    </xf>
    <xf numFmtId="0" fontId="33" fillId="0" borderId="55" xfId="0" applyFont="1" applyBorder="1"/>
    <xf numFmtId="0" fontId="33" fillId="0" borderId="24" xfId="0" applyFont="1" applyBorder="1" applyAlignment="1">
      <alignment horizontal="right"/>
    </xf>
    <xf numFmtId="0" fontId="33" fillId="0" borderId="23" xfId="0" applyFont="1" applyBorder="1" applyAlignment="1">
      <alignment horizontal="right"/>
    </xf>
    <xf numFmtId="0" fontId="33" fillId="0" borderId="24" xfId="0" applyFont="1" applyBorder="1" applyAlignment="1">
      <alignment horizontal="center"/>
    </xf>
    <xf numFmtId="0" fontId="33" fillId="0" borderId="13" xfId="0" applyFont="1" applyBorder="1" applyAlignment="1">
      <alignment horizontal="center"/>
    </xf>
    <xf numFmtId="0" fontId="33" fillId="0" borderId="19" xfId="0" applyFont="1" applyBorder="1" applyAlignment="1">
      <alignment horizontal="center"/>
    </xf>
    <xf numFmtId="0" fontId="33" fillId="0" borderId="22" xfId="0" applyFont="1" applyBorder="1" applyAlignment="1">
      <alignment horizontal="center"/>
    </xf>
    <xf numFmtId="0" fontId="33" fillId="0" borderId="58" xfId="0" applyFont="1" applyBorder="1" applyAlignment="1">
      <alignment horizontal="center"/>
    </xf>
    <xf numFmtId="3" fontId="33" fillId="0" borderId="55" xfId="0" applyNumberFormat="1" applyFont="1" applyBorder="1"/>
    <xf numFmtId="0" fontId="34" fillId="0" borderId="77" xfId="0" applyFont="1" applyBorder="1"/>
    <xf numFmtId="3" fontId="34" fillId="0" borderId="24" xfId="0" applyNumberFormat="1" applyFont="1" applyBorder="1"/>
    <xf numFmtId="3" fontId="34" fillId="0" borderId="25" xfId="0" applyNumberFormat="1" applyFont="1" applyBorder="1"/>
    <xf numFmtId="3" fontId="34" fillId="0" borderId="23" xfId="0" applyNumberFormat="1" applyFont="1" applyBorder="1"/>
    <xf numFmtId="3" fontId="34" fillId="0" borderId="56" xfId="0" applyNumberFormat="1" applyFont="1" applyBorder="1"/>
    <xf numFmtId="3" fontId="33" fillId="0" borderId="19" xfId="0" applyNumberFormat="1" applyFont="1" applyBorder="1"/>
    <xf numFmtId="3" fontId="33" fillId="0" borderId="13" xfId="0" applyNumberFormat="1" applyFont="1" applyBorder="1"/>
    <xf numFmtId="3" fontId="33" fillId="0" borderId="22" xfId="0" applyNumberFormat="1" applyFont="1" applyBorder="1"/>
    <xf numFmtId="3" fontId="34" fillId="0" borderId="13" xfId="0" applyNumberFormat="1" applyFont="1" applyBorder="1"/>
    <xf numFmtId="3" fontId="34" fillId="0" borderId="19" xfId="0" applyNumberFormat="1" applyFont="1" applyBorder="1"/>
    <xf numFmtId="3" fontId="34" fillId="0" borderId="58" xfId="0" applyNumberFormat="1" applyFont="1" applyBorder="1"/>
    <xf numFmtId="3" fontId="33" fillId="0" borderId="23" xfId="0" applyNumberFormat="1" applyFont="1" applyBorder="1"/>
    <xf numFmtId="171" fontId="59" fillId="11" borderId="86" xfId="0" applyNumberFormat="1" applyFont="1" applyFill="1" applyBorder="1"/>
    <xf numFmtId="37" fontId="33" fillId="0" borderId="22" xfId="0" applyNumberFormat="1" applyFont="1" applyBorder="1"/>
    <xf numFmtId="0" fontId="34" fillId="0" borderId="1" xfId="0" applyFont="1" applyBorder="1" applyAlignment="1">
      <alignment horizontal="center"/>
    </xf>
    <xf numFmtId="171" fontId="34" fillId="0" borderId="1" xfId="0" applyNumberFormat="1" applyFont="1" applyBorder="1"/>
    <xf numFmtId="0" fontId="34" fillId="0" borderId="12" xfId="0" applyFont="1" applyBorder="1" applyAlignment="1">
      <alignment horizontal="center"/>
    </xf>
    <xf numFmtId="3" fontId="33" fillId="0" borderId="24" xfId="0" applyNumberFormat="1" applyFont="1" applyBorder="1" applyAlignment="1">
      <alignment horizontal="center"/>
    </xf>
    <xf numFmtId="3" fontId="33" fillId="0" borderId="1" xfId="0" applyNumberFormat="1" applyFont="1" applyBorder="1" applyAlignment="1">
      <alignment horizontal="center"/>
    </xf>
    <xf numFmtId="3" fontId="33" fillId="0" borderId="15" xfId="0" applyNumberFormat="1" applyFont="1" applyBorder="1" applyAlignment="1">
      <alignment horizontal="center"/>
    </xf>
    <xf numFmtId="3" fontId="33" fillId="0" borderId="12" xfId="0" applyNumberFormat="1" applyFont="1" applyBorder="1" applyAlignment="1">
      <alignment horizontal="center"/>
    </xf>
    <xf numFmtId="3" fontId="33" fillId="0" borderId="55" xfId="0" applyNumberFormat="1" applyFont="1" applyBorder="1" applyAlignment="1">
      <alignment horizontal="center"/>
    </xf>
    <xf numFmtId="3" fontId="33" fillId="0" borderId="22" xfId="0" applyNumberFormat="1" applyFont="1" applyBorder="1" applyAlignment="1">
      <alignment horizontal="center"/>
    </xf>
    <xf numFmtId="3" fontId="33" fillId="0" borderId="13" xfId="0" applyNumberFormat="1" applyFont="1" applyBorder="1" applyAlignment="1">
      <alignment horizontal="center"/>
    </xf>
    <xf numFmtId="3" fontId="33" fillId="0" borderId="19" xfId="0" applyNumberFormat="1" applyFont="1" applyBorder="1" applyAlignment="1">
      <alignment horizontal="center"/>
    </xf>
    <xf numFmtId="3" fontId="33" fillId="0" borderId="58" xfId="0" applyNumberFormat="1" applyFont="1" applyBorder="1" applyAlignment="1">
      <alignment horizontal="center"/>
    </xf>
    <xf numFmtId="0" fontId="34" fillId="0" borderId="75" xfId="0" applyFont="1" applyBorder="1"/>
    <xf numFmtId="3" fontId="33" fillId="0" borderId="58" xfId="0" applyNumberFormat="1" applyFont="1" applyBorder="1"/>
    <xf numFmtId="3" fontId="33" fillId="0" borderId="24" xfId="0" applyNumberFormat="1" applyFont="1" applyBorder="1"/>
    <xf numFmtId="3" fontId="33" fillId="0" borderId="25" xfId="0" applyNumberFormat="1" applyFont="1" applyBorder="1"/>
    <xf numFmtId="3" fontId="33" fillId="0" borderId="56" xfId="0" applyNumberFormat="1" applyFont="1" applyBorder="1"/>
    <xf numFmtId="3" fontId="34" fillId="0" borderId="12" xfId="0" applyNumberFormat="1" applyFont="1" applyBorder="1"/>
    <xf numFmtId="0" fontId="34" fillId="4" borderId="70" xfId="0" applyFont="1" applyFill="1" applyBorder="1"/>
    <xf numFmtId="37" fontId="33" fillId="0" borderId="15" xfId="0" applyNumberFormat="1" applyFont="1" applyBorder="1" applyAlignment="1"/>
    <xf numFmtId="37" fontId="33" fillId="0" borderId="19" xfId="0" applyNumberFormat="1" applyFont="1" applyBorder="1" applyAlignment="1"/>
    <xf numFmtId="37" fontId="34" fillId="4" borderId="58" xfId="0" applyNumberFormat="1" applyFont="1" applyFill="1" applyBorder="1"/>
    <xf numFmtId="0" fontId="33" fillId="3" borderId="61" xfId="0" applyFont="1" applyFill="1" applyBorder="1"/>
    <xf numFmtId="0" fontId="42" fillId="0" borderId="1" xfId="0" applyFont="1" applyBorder="1" applyAlignment="1">
      <alignment horizontal="center" vertical="center"/>
    </xf>
    <xf numFmtId="0" fontId="31" fillId="0" borderId="1" xfId="0" applyFont="1" applyBorder="1" applyAlignment="1">
      <alignment horizontal="center"/>
    </xf>
    <xf numFmtId="0" fontId="31" fillId="0" borderId="1" xfId="0" applyFont="1" applyBorder="1"/>
    <xf numFmtId="0" fontId="33" fillId="0" borderId="87" xfId="0" applyFont="1" applyBorder="1" applyAlignment="1">
      <alignment horizontal="left"/>
    </xf>
    <xf numFmtId="0" fontId="34" fillId="0" borderId="88" xfId="0" applyFont="1" applyBorder="1" applyAlignment="1">
      <alignment horizontal="center" vertical="center"/>
    </xf>
    <xf numFmtId="0" fontId="33" fillId="0" borderId="32" xfId="0" applyFont="1" applyBorder="1" applyAlignment="1">
      <alignment horizontal="center"/>
    </xf>
    <xf numFmtId="0" fontId="33" fillId="0" borderId="33" xfId="0" applyFont="1" applyBorder="1" applyAlignment="1">
      <alignment horizontal="center"/>
    </xf>
    <xf numFmtId="0" fontId="33" fillId="0" borderId="34" xfId="0" applyFont="1" applyBorder="1" applyAlignment="1">
      <alignment horizontal="center"/>
    </xf>
    <xf numFmtId="0" fontId="36" fillId="0" borderId="22" xfId="0" applyFont="1" applyBorder="1"/>
    <xf numFmtId="37" fontId="36" fillId="0" borderId="32" xfId="0" applyNumberFormat="1" applyFont="1" applyBorder="1"/>
    <xf numFmtId="37" fontId="36" fillId="0" borderId="33" xfId="0" applyNumberFormat="1" applyFont="1" applyBorder="1"/>
    <xf numFmtId="37" fontId="36" fillId="0" borderId="22" xfId="0" applyNumberFormat="1" applyFont="1" applyBorder="1"/>
    <xf numFmtId="171" fontId="36" fillId="0" borderId="22" xfId="0" applyNumberFormat="1" applyFont="1" applyBorder="1"/>
    <xf numFmtId="37" fontId="36" fillId="0" borderId="34" xfId="0" applyNumberFormat="1" applyFont="1" applyBorder="1"/>
    <xf numFmtId="171" fontId="36" fillId="0" borderId="58" xfId="0" applyNumberFormat="1" applyFont="1" applyBorder="1"/>
    <xf numFmtId="0" fontId="42" fillId="3" borderId="75" xfId="0" applyFont="1" applyFill="1" applyBorder="1"/>
    <xf numFmtId="171" fontId="42" fillId="3" borderId="58" xfId="0" applyNumberFormat="1" applyFont="1" applyFill="1" applyBorder="1"/>
    <xf numFmtId="0" fontId="42" fillId="0" borderId="70" xfId="0" applyFont="1" applyBorder="1"/>
    <xf numFmtId="0" fontId="36" fillId="0" borderId="1" xfId="0" applyFont="1" applyBorder="1"/>
    <xf numFmtId="37" fontId="36" fillId="0" borderId="39" xfId="0" applyNumberFormat="1" applyFont="1" applyBorder="1"/>
    <xf numFmtId="37" fontId="36" fillId="0" borderId="1" xfId="0" applyNumberFormat="1" applyFont="1" applyBorder="1"/>
    <xf numFmtId="171" fontId="36" fillId="0" borderId="1" xfId="0" applyNumberFormat="1" applyFont="1" applyBorder="1"/>
    <xf numFmtId="37" fontId="36" fillId="0" borderId="41" xfId="0" applyNumberFormat="1" applyFont="1" applyBorder="1"/>
    <xf numFmtId="0" fontId="36" fillId="0" borderId="1" xfId="0" applyFont="1" applyBorder="1" applyAlignment="1">
      <alignment horizontal="right"/>
    </xf>
    <xf numFmtId="172" fontId="36" fillId="0" borderId="1" xfId="0" applyNumberFormat="1" applyFont="1" applyBorder="1"/>
    <xf numFmtId="0" fontId="36" fillId="0" borderId="39" xfId="0" applyFont="1" applyBorder="1"/>
    <xf numFmtId="0" fontId="36" fillId="0" borderId="22" xfId="0" applyFont="1" applyBorder="1" applyAlignment="1">
      <alignment horizontal="right"/>
    </xf>
    <xf numFmtId="172" fontId="36" fillId="0" borderId="22" xfId="0" applyNumberFormat="1" applyFont="1" applyBorder="1"/>
    <xf numFmtId="0" fontId="36" fillId="0" borderId="33" xfId="0" applyFont="1" applyBorder="1"/>
    <xf numFmtId="171" fontId="36" fillId="0" borderId="32" xfId="0" applyNumberFormat="1" applyFont="1" applyBorder="1"/>
    <xf numFmtId="0" fontId="42" fillId="3" borderId="76" xfId="0" applyFont="1" applyFill="1" applyBorder="1"/>
    <xf numFmtId="0" fontId="36" fillId="0" borderId="24" xfId="0" applyFont="1" applyBorder="1" applyAlignment="1">
      <alignment horizontal="right"/>
    </xf>
    <xf numFmtId="0" fontId="36" fillId="0" borderId="24" xfId="0" applyFont="1" applyBorder="1"/>
    <xf numFmtId="37" fontId="36" fillId="0" borderId="37" xfId="0" applyNumberFormat="1" applyFont="1" applyBorder="1"/>
    <xf numFmtId="0" fontId="36" fillId="0" borderId="38" xfId="0" applyFont="1" applyBorder="1"/>
    <xf numFmtId="172" fontId="36" fillId="0" borderId="24" xfId="0" applyNumberFormat="1" applyFont="1" applyBorder="1"/>
    <xf numFmtId="37" fontId="36" fillId="0" borderId="24" xfId="0" applyNumberFormat="1" applyFont="1" applyBorder="1"/>
    <xf numFmtId="171" fontId="36" fillId="0" borderId="24" xfId="0" applyNumberFormat="1" applyFont="1" applyBorder="1"/>
    <xf numFmtId="37" fontId="36" fillId="0" borderId="42" xfId="0" applyNumberFormat="1" applyFont="1" applyBorder="1"/>
    <xf numFmtId="171" fontId="42" fillId="0" borderId="1" xfId="0" applyNumberFormat="1" applyFont="1" applyBorder="1"/>
    <xf numFmtId="0" fontId="42" fillId="0" borderId="1" xfId="0" applyFont="1" applyBorder="1"/>
    <xf numFmtId="171" fontId="36" fillId="0" borderId="37" xfId="0" applyNumberFormat="1" applyFont="1" applyBorder="1"/>
    <xf numFmtId="0" fontId="36" fillId="0" borderId="41" xfId="0" applyFont="1" applyBorder="1"/>
    <xf numFmtId="171" fontId="36" fillId="0" borderId="92" xfId="0" applyNumberFormat="1" applyFont="1" applyBorder="1"/>
    <xf numFmtId="0" fontId="36" fillId="0" borderId="1" xfId="0" applyFont="1" applyFill="1" applyBorder="1"/>
    <xf numFmtId="37" fontId="36" fillId="0" borderId="1" xfId="0" applyNumberFormat="1" applyFont="1" applyFill="1" applyBorder="1"/>
    <xf numFmtId="171" fontId="36" fillId="0" borderId="37" xfId="0" applyNumberFormat="1" applyFont="1" applyFill="1" applyBorder="1"/>
    <xf numFmtId="37" fontId="36" fillId="0" borderId="49" xfId="0" applyNumberFormat="1" applyFont="1" applyFill="1" applyBorder="1"/>
    <xf numFmtId="0" fontId="42" fillId="4" borderId="77" xfId="0" applyFont="1" applyFill="1" applyBorder="1"/>
    <xf numFmtId="171" fontId="36" fillId="0" borderId="83" xfId="0" applyNumberFormat="1" applyFont="1" applyBorder="1"/>
    <xf numFmtId="0" fontId="42" fillId="3" borderId="78" xfId="0" applyFont="1" applyFill="1" applyBorder="1"/>
    <xf numFmtId="0" fontId="42" fillId="3" borderId="64" xfId="0" applyFont="1" applyFill="1" applyBorder="1"/>
    <xf numFmtId="0" fontId="42" fillId="3" borderId="64" xfId="0" applyFont="1" applyFill="1" applyBorder="1" applyAlignment="1">
      <alignment horizontal="center"/>
    </xf>
    <xf numFmtId="171" fontId="42" fillId="3" borderId="64" xfId="0" applyNumberFormat="1" applyFont="1" applyFill="1" applyBorder="1"/>
    <xf numFmtId="37" fontId="42" fillId="3" borderId="93" xfId="0" applyNumberFormat="1" applyFont="1" applyFill="1" applyBorder="1"/>
    <xf numFmtId="37" fontId="42" fillId="3" borderId="94" xfId="0" applyNumberFormat="1" applyFont="1" applyFill="1" applyBorder="1"/>
    <xf numFmtId="0" fontId="42" fillId="3" borderId="94" xfId="0" applyFont="1" applyFill="1" applyBorder="1" applyAlignment="1">
      <alignment horizontal="center"/>
    </xf>
    <xf numFmtId="171" fontId="42" fillId="3" borderId="86" xfId="0" applyNumberFormat="1" applyFont="1" applyFill="1" applyBorder="1"/>
    <xf numFmtId="0" fontId="42" fillId="3" borderId="95" xfId="0" applyFont="1" applyFill="1" applyBorder="1"/>
    <xf numFmtId="0" fontId="42" fillId="3" borderId="96" xfId="0" applyFont="1" applyFill="1" applyBorder="1"/>
    <xf numFmtId="0" fontId="42" fillId="3" borderId="96" xfId="0" applyFont="1" applyFill="1" applyBorder="1" applyAlignment="1">
      <alignment horizontal="center"/>
    </xf>
    <xf numFmtId="171" fontId="42" fillId="3" borderId="96" xfId="0" applyNumberFormat="1" applyFont="1" applyFill="1" applyBorder="1"/>
    <xf numFmtId="37" fontId="42" fillId="3" borderId="97" xfId="0" applyNumberFormat="1" applyFont="1" applyFill="1" applyBorder="1"/>
    <xf numFmtId="37" fontId="42" fillId="3" borderId="96" xfId="0" applyNumberFormat="1" applyFont="1" applyFill="1" applyBorder="1"/>
    <xf numFmtId="37" fontId="42" fillId="3" borderId="98" xfId="0" applyNumberFormat="1" applyFont="1" applyFill="1" applyBorder="1"/>
    <xf numFmtId="37" fontId="42" fillId="3" borderId="99" xfId="0" applyNumberFormat="1" applyFont="1" applyFill="1" applyBorder="1"/>
    <xf numFmtId="37" fontId="42" fillId="3" borderId="88" xfId="0" applyNumberFormat="1" applyFont="1" applyFill="1" applyBorder="1"/>
    <xf numFmtId="171" fontId="42" fillId="3" borderId="91" xfId="0" applyNumberFormat="1" applyFont="1" applyFill="1" applyBorder="1"/>
    <xf numFmtId="0" fontId="41" fillId="0" borderId="70" xfId="0" applyFont="1" applyBorder="1"/>
    <xf numFmtId="0" fontId="41" fillId="0" borderId="41" xfId="0" applyFont="1" applyBorder="1"/>
    <xf numFmtId="0" fontId="41" fillId="0" borderId="55" xfId="0" applyFont="1" applyBorder="1"/>
    <xf numFmtId="0" fontId="31" fillId="0" borderId="41" xfId="0" applyFont="1" applyBorder="1"/>
    <xf numFmtId="171" fontId="42" fillId="3" borderId="81" xfId="0" applyNumberFormat="1" applyFont="1" applyFill="1" applyBorder="1"/>
    <xf numFmtId="0" fontId="34" fillId="0" borderId="15" xfId="0" applyFont="1" applyFill="1" applyBorder="1"/>
    <xf numFmtId="171" fontId="63" fillId="0" borderId="12" xfId="1" applyNumberFormat="1" applyFont="1" applyFill="1" applyBorder="1"/>
    <xf numFmtId="3" fontId="33" fillId="0" borderId="55" xfId="0" applyNumberFormat="1" applyFont="1" applyFill="1" applyBorder="1"/>
    <xf numFmtId="3" fontId="63" fillId="0" borderId="55" xfId="0" applyNumberFormat="1" applyFont="1" applyFill="1" applyBorder="1"/>
    <xf numFmtId="0" fontId="32" fillId="0" borderId="0" xfId="0" applyFont="1" applyFill="1"/>
    <xf numFmtId="0" fontId="0" fillId="0" borderId="0" xfId="0" applyFont="1" applyFill="1" applyAlignment="1"/>
    <xf numFmtId="0" fontId="37" fillId="0" borderId="0" xfId="0" applyFont="1" applyFill="1"/>
    <xf numFmtId="0" fontId="25" fillId="0" borderId="0" xfId="0" applyFont="1" applyFill="1"/>
    <xf numFmtId="0" fontId="39" fillId="0" borderId="0" xfId="0" applyFont="1" applyFill="1"/>
    <xf numFmtId="39" fontId="33" fillId="0" borderId="0" xfId="0" applyNumberFormat="1" applyFont="1" applyFill="1"/>
    <xf numFmtId="0" fontId="31" fillId="0" borderId="0" xfId="0" applyFont="1" applyFill="1"/>
    <xf numFmtId="0" fontId="30" fillId="0" borderId="0" xfId="0" applyFont="1" applyFill="1"/>
    <xf numFmtId="0" fontId="30" fillId="0" borderId="1" xfId="0" applyFont="1" applyFill="1" applyBorder="1"/>
    <xf numFmtId="0" fontId="31" fillId="0" borderId="1" xfId="0" applyFont="1" applyFill="1" applyBorder="1"/>
    <xf numFmtId="0" fontId="40" fillId="0" borderId="0" xfId="0" applyFont="1" applyFill="1"/>
    <xf numFmtId="37" fontId="34" fillId="0" borderId="0" xfId="0" applyNumberFormat="1" applyFont="1" applyFill="1"/>
    <xf numFmtId="0" fontId="38" fillId="0" borderId="0" xfId="0" applyFont="1" applyFill="1"/>
    <xf numFmtId="171" fontId="33" fillId="0" borderId="0" xfId="0" applyNumberFormat="1" applyFont="1" applyFill="1"/>
    <xf numFmtId="171" fontId="34" fillId="0" borderId="0" xfId="0" applyNumberFormat="1" applyFont="1" applyFill="1"/>
    <xf numFmtId="37" fontId="31" fillId="0" borderId="1" xfId="0" applyNumberFormat="1" applyFont="1" applyFill="1" applyBorder="1"/>
    <xf numFmtId="0" fontId="30" fillId="0" borderId="0" xfId="0" applyFont="1" applyFill="1" applyAlignment="1">
      <alignment horizontal="center" vertical="center"/>
    </xf>
    <xf numFmtId="0" fontId="34" fillId="0" borderId="0" xfId="0" applyFont="1" applyFill="1" applyAlignment="1">
      <alignment horizontal="center"/>
    </xf>
    <xf numFmtId="0" fontId="33" fillId="0" borderId="0" xfId="0" applyFont="1" applyFill="1" applyAlignment="1">
      <alignment horizontal="center"/>
    </xf>
    <xf numFmtId="0" fontId="30" fillId="0" borderId="1" xfId="0" applyFont="1" applyFill="1" applyBorder="1" applyAlignment="1">
      <alignment horizontal="center" vertical="center"/>
    </xf>
    <xf numFmtId="0" fontId="34" fillId="0" borderId="1" xfId="0" applyFont="1" applyFill="1" applyBorder="1" applyAlignment="1">
      <alignment horizontal="center"/>
    </xf>
    <xf numFmtId="0" fontId="33" fillId="0" borderId="1" xfId="0" applyFont="1" applyFill="1" applyBorder="1" applyAlignment="1">
      <alignment horizontal="center"/>
    </xf>
    <xf numFmtId="171" fontId="33" fillId="0" borderId="1" xfId="0" applyNumberFormat="1" applyFont="1" applyFill="1" applyBorder="1"/>
    <xf numFmtId="0" fontId="41" fillId="0" borderId="0" xfId="0" applyFont="1" applyFill="1"/>
    <xf numFmtId="0" fontId="61" fillId="0" borderId="0" xfId="0" applyFont="1"/>
    <xf numFmtId="168" fontId="27" fillId="0" borderId="1" xfId="0" applyNumberFormat="1" applyFont="1" applyBorder="1"/>
    <xf numFmtId="168" fontId="29" fillId="0" borderId="1" xfId="0" applyNumberFormat="1" applyFont="1" applyBorder="1"/>
    <xf numFmtId="168" fontId="28" fillId="0" borderId="1" xfId="0" applyNumberFormat="1" applyFont="1" applyFill="1" applyBorder="1"/>
    <xf numFmtId="0" fontId="28" fillId="0" borderId="1" xfId="0" applyFont="1" applyFill="1" applyBorder="1"/>
    <xf numFmtId="168" fontId="27" fillId="0" borderId="1" xfId="0" applyNumberFormat="1" applyFont="1" applyFill="1" applyBorder="1"/>
    <xf numFmtId="168" fontId="29" fillId="0" borderId="1" xfId="0" applyNumberFormat="1" applyFont="1" applyFill="1" applyBorder="1"/>
    <xf numFmtId="0" fontId="23" fillId="0" borderId="0" xfId="0" applyFont="1" applyFill="1"/>
    <xf numFmtId="171" fontId="42" fillId="3" borderId="100" xfId="0" applyNumberFormat="1" applyFont="1" applyFill="1" applyBorder="1"/>
    <xf numFmtId="0" fontId="33" fillId="0" borderId="101" xfId="0" applyFont="1" applyBorder="1"/>
    <xf numFmtId="3" fontId="60" fillId="0" borderId="13" xfId="0" applyNumberFormat="1" applyFont="1" applyBorder="1"/>
    <xf numFmtId="3" fontId="60" fillId="0" borderId="22" xfId="0" applyNumberFormat="1" applyFont="1" applyBorder="1"/>
    <xf numFmtId="0" fontId="63" fillId="0" borderId="70" xfId="0" applyFont="1" applyBorder="1"/>
    <xf numFmtId="0" fontId="61" fillId="9" borderId="1" xfId="0" applyFont="1" applyFill="1" applyBorder="1"/>
    <xf numFmtId="0" fontId="64" fillId="0" borderId="77" xfId="0" applyFont="1" applyBorder="1"/>
    <xf numFmtId="4" fontId="65" fillId="0" borderId="0" xfId="0" applyNumberFormat="1" applyFont="1" applyAlignment="1">
      <alignment horizontal="center" vertical="top"/>
    </xf>
    <xf numFmtId="3" fontId="58" fillId="0" borderId="15" xfId="0" applyNumberFormat="1" applyFont="1" applyBorder="1"/>
    <xf numFmtId="3" fontId="42" fillId="3" borderId="17" xfId="0" applyNumberFormat="1" applyFont="1" applyFill="1" applyBorder="1" applyAlignment="1">
      <alignment horizontal="center"/>
    </xf>
    <xf numFmtId="39" fontId="54" fillId="10" borderId="44" xfId="0" applyNumberFormat="1" applyFont="1" applyFill="1" applyBorder="1" applyAlignment="1">
      <alignment horizontal="left" vertical="top"/>
    </xf>
    <xf numFmtId="37" fontId="42" fillId="12" borderId="17" xfId="0" applyNumberFormat="1" applyFont="1" applyFill="1" applyBorder="1"/>
    <xf numFmtId="0" fontId="23" fillId="0" borderId="102" xfId="0" applyFont="1" applyBorder="1"/>
    <xf numFmtId="168" fontId="66" fillId="0" borderId="50" xfId="0" applyNumberFormat="1" applyFont="1" applyBorder="1"/>
    <xf numFmtId="41" fontId="27" fillId="0" borderId="7" xfId="0" applyNumberFormat="1" applyFont="1" applyBorder="1"/>
    <xf numFmtId="41" fontId="28" fillId="3" borderId="9" xfId="0" applyNumberFormat="1" applyFont="1" applyFill="1" applyBorder="1"/>
    <xf numFmtId="41" fontId="28" fillId="3" borderId="11" xfId="0" applyNumberFormat="1" applyFont="1" applyFill="1" applyBorder="1"/>
    <xf numFmtId="41" fontId="29" fillId="0" borderId="5" xfId="0" applyNumberFormat="1" applyFont="1" applyBorder="1"/>
    <xf numFmtId="41" fontId="23" fillId="0" borderId="7" xfId="0" applyNumberFormat="1" applyFont="1" applyBorder="1"/>
    <xf numFmtId="41" fontId="27" fillId="0" borderId="51" xfId="0" applyNumberFormat="1" applyFont="1" applyBorder="1"/>
    <xf numFmtId="41" fontId="29" fillId="0" borderId="51" xfId="0" applyNumberFormat="1" applyFont="1" applyBorder="1"/>
    <xf numFmtId="41" fontId="27" fillId="0" borderId="3" xfId="0" applyNumberFormat="1" applyFont="1" applyBorder="1"/>
    <xf numFmtId="0" fontId="33" fillId="0" borderId="13" xfId="0" applyFont="1" applyBorder="1" applyAlignment="1"/>
    <xf numFmtId="3" fontId="33" fillId="0" borderId="12" xfId="0" applyNumberFormat="1" applyFont="1" applyBorder="1" applyAlignment="1"/>
    <xf numFmtId="0" fontId="0" fillId="0" borderId="0" xfId="0" applyFont="1" applyAlignment="1"/>
    <xf numFmtId="39" fontId="54" fillId="10" borderId="1" xfId="0" applyNumberFormat="1" applyFont="1" applyFill="1" applyBorder="1" applyAlignment="1">
      <alignment horizontal="left" vertical="top"/>
    </xf>
    <xf numFmtId="4" fontId="23" fillId="13" borderId="0" xfId="0" applyNumberFormat="1" applyFont="1" applyFill="1" applyAlignment="1">
      <alignment horizontal="center" vertical="top"/>
    </xf>
    <xf numFmtId="39" fontId="58" fillId="0" borderId="103" xfId="0" applyNumberFormat="1" applyFont="1" applyBorder="1"/>
    <xf numFmtId="167" fontId="51" fillId="0" borderId="0" xfId="0" applyNumberFormat="1" applyFont="1" applyAlignment="1">
      <alignment horizontal="center" vertical="top"/>
    </xf>
    <xf numFmtId="167" fontId="23" fillId="0" borderId="0" xfId="0" applyNumberFormat="1" applyFont="1" applyAlignment="1">
      <alignment horizontal="center" vertical="top"/>
    </xf>
    <xf numFmtId="167" fontId="65" fillId="0" borderId="0" xfId="0" applyNumberFormat="1" applyFont="1" applyAlignment="1">
      <alignment horizontal="center" vertical="top"/>
    </xf>
    <xf numFmtId="167" fontId="23" fillId="13" borderId="0" xfId="0" applyNumberFormat="1" applyFont="1" applyFill="1" applyAlignment="1">
      <alignment horizontal="center" vertical="top"/>
    </xf>
    <xf numFmtId="167" fontId="0" fillId="0" borderId="0" xfId="0" applyNumberFormat="1" applyFont="1" applyAlignment="1"/>
    <xf numFmtId="49" fontId="23" fillId="15" borderId="0" xfId="0" applyNumberFormat="1" applyFont="1" applyFill="1" applyAlignment="1">
      <alignment horizontal="left" vertical="top"/>
    </xf>
    <xf numFmtId="167" fontId="23" fillId="15" borderId="0" xfId="0" applyNumberFormat="1" applyFont="1" applyFill="1" applyAlignment="1">
      <alignment horizontal="center" vertical="top"/>
    </xf>
    <xf numFmtId="4" fontId="23" fillId="15" borderId="0" xfId="0" applyNumberFormat="1" applyFont="1" applyFill="1" applyAlignment="1">
      <alignment horizontal="center" vertical="top"/>
    </xf>
    <xf numFmtId="37" fontId="34" fillId="3" borderId="17" xfId="0" applyNumberFormat="1" applyFont="1" applyFill="1" applyBorder="1"/>
    <xf numFmtId="0" fontId="33" fillId="3" borderId="20" xfId="0" applyFont="1" applyFill="1" applyBorder="1"/>
    <xf numFmtId="0" fontId="21" fillId="0" borderId="1" xfId="2"/>
    <xf numFmtId="0" fontId="67" fillId="0" borderId="1" xfId="2" applyFont="1"/>
    <xf numFmtId="0" fontId="67" fillId="0" borderId="1" xfId="2" applyFont="1" applyAlignment="1">
      <alignment horizontal="center"/>
    </xf>
    <xf numFmtId="0" fontId="68" fillId="0" borderId="1" xfId="2" applyFont="1"/>
    <xf numFmtId="170" fontId="69" fillId="0" borderId="1" xfId="2" applyNumberFormat="1" applyFont="1" applyAlignment="1">
      <alignment horizontal="left"/>
    </xf>
    <xf numFmtId="0" fontId="69" fillId="0" borderId="1" xfId="2" applyFont="1"/>
    <xf numFmtId="0" fontId="70" fillId="0" borderId="1" xfId="2" applyFont="1"/>
    <xf numFmtId="0" fontId="58" fillId="0" borderId="1" xfId="2" applyFont="1"/>
    <xf numFmtId="0" fontId="71" fillId="0" borderId="1" xfId="2" applyFont="1"/>
    <xf numFmtId="0" fontId="72" fillId="0" borderId="1" xfId="2" applyFont="1"/>
    <xf numFmtId="0" fontId="73" fillId="0" borderId="1" xfId="2" applyFont="1"/>
    <xf numFmtId="0" fontId="75" fillId="16" borderId="1" xfId="2" applyFont="1" applyFill="1"/>
    <xf numFmtId="0" fontId="73" fillId="16" borderId="1" xfId="2" applyFont="1" applyFill="1"/>
    <xf numFmtId="0" fontId="76" fillId="16" borderId="1" xfId="2" applyFont="1" applyFill="1"/>
    <xf numFmtId="0" fontId="77" fillId="16" borderId="1" xfId="2" applyFont="1" applyFill="1" applyAlignment="1">
      <alignment horizontal="centerContinuous" vertical="center"/>
    </xf>
    <xf numFmtId="0" fontId="73" fillId="16" borderId="1" xfId="2" applyFont="1" applyFill="1" applyAlignment="1">
      <alignment horizontal="centerContinuous" vertical="center"/>
    </xf>
    <xf numFmtId="0" fontId="75" fillId="16" borderId="1" xfId="2" applyFont="1" applyFill="1" applyAlignment="1">
      <alignment horizontal="centerContinuous"/>
    </xf>
    <xf numFmtId="0" fontId="73" fillId="16" borderId="1" xfId="2" applyFont="1" applyFill="1" applyAlignment="1">
      <alignment horizontal="centerContinuous"/>
    </xf>
    <xf numFmtId="0" fontId="78" fillId="16" borderId="1" xfId="2" applyFont="1" applyFill="1" applyAlignment="1">
      <alignment horizontal="center"/>
    </xf>
    <xf numFmtId="171" fontId="73" fillId="16" borderId="1" xfId="2" applyNumberFormat="1" applyFont="1" applyFill="1"/>
    <xf numFmtId="37" fontId="73" fillId="16" borderId="1" xfId="2" applyNumberFormat="1" applyFont="1" applyFill="1"/>
    <xf numFmtId="171" fontId="75" fillId="16" borderId="1" xfId="2" applyNumberFormat="1" applyFont="1" applyFill="1"/>
    <xf numFmtId="37" fontId="75" fillId="16" borderId="1" xfId="2" applyNumberFormat="1" applyFont="1" applyFill="1"/>
    <xf numFmtId="0" fontId="79" fillId="16" borderId="1" xfId="2" applyFont="1" applyFill="1"/>
    <xf numFmtId="0" fontId="78" fillId="16" borderId="1" xfId="2" applyFont="1" applyFill="1" applyAlignment="1">
      <alignment horizontal="centerContinuous"/>
    </xf>
    <xf numFmtId="0" fontId="78" fillId="16" borderId="1" xfId="2" applyFont="1" applyFill="1" applyAlignment="1">
      <alignment horizontal="left"/>
    </xf>
    <xf numFmtId="0" fontId="80" fillId="16" borderId="1" xfId="2" applyFont="1" applyFill="1" applyProtection="1">
      <protection locked="0"/>
    </xf>
    <xf numFmtId="0" fontId="73" fillId="16" borderId="1" xfId="2" applyFont="1" applyFill="1" applyAlignment="1">
      <alignment horizontal="center"/>
    </xf>
    <xf numFmtId="0" fontId="81" fillId="16" borderId="1" xfId="2" applyFont="1" applyFill="1" applyAlignment="1">
      <alignment horizontal="centerContinuous"/>
    </xf>
    <xf numFmtId="0" fontId="75" fillId="16" borderId="1" xfId="2" applyFont="1" applyFill="1" applyAlignment="1">
      <alignment horizontal="left"/>
    </xf>
    <xf numFmtId="0" fontId="21" fillId="0" borderId="1" xfId="2" applyAlignment="1">
      <alignment horizontal="center"/>
    </xf>
    <xf numFmtId="0" fontId="82" fillId="0" borderId="1" xfId="2" applyFont="1" applyBorder="1" applyAlignment="1">
      <alignment horizontal="center"/>
    </xf>
    <xf numFmtId="0" fontId="67" fillId="13" borderId="54" xfId="2" applyFont="1" applyFill="1" applyBorder="1" applyAlignment="1">
      <alignment horizontal="center"/>
    </xf>
    <xf numFmtId="0" fontId="70" fillId="0" borderId="1" xfId="2" applyFont="1" applyAlignment="1">
      <alignment horizontal="center"/>
    </xf>
    <xf numFmtId="0" fontId="32" fillId="0" borderId="0" xfId="0" applyFont="1" applyAlignment="1">
      <alignment horizontal="center"/>
    </xf>
    <xf numFmtId="0" fontId="21" fillId="0" borderId="1" xfId="2" applyFill="1" applyAlignment="1">
      <alignment horizontal="center"/>
    </xf>
    <xf numFmtId="0" fontId="82" fillId="0" borderId="1" xfId="2" applyFont="1" applyFill="1" applyBorder="1" applyAlignment="1">
      <alignment horizontal="center"/>
    </xf>
    <xf numFmtId="0" fontId="67" fillId="0" borderId="1" xfId="2" applyFont="1" applyFill="1" applyBorder="1" applyAlignment="1">
      <alignment horizontal="center"/>
    </xf>
    <xf numFmtId="0" fontId="21" fillId="0" borderId="1" xfId="2" applyFill="1"/>
    <xf numFmtId="0" fontId="32" fillId="17" borderId="0" xfId="0" applyFont="1" applyFill="1"/>
    <xf numFmtId="171" fontId="33" fillId="0" borderId="1" xfId="1" applyNumberFormat="1" applyFont="1" applyFill="1" applyBorder="1"/>
    <xf numFmtId="171" fontId="34" fillId="0" borderId="9" xfId="0" applyNumberFormat="1" applyFont="1" applyFill="1" applyBorder="1"/>
    <xf numFmtId="3" fontId="33" fillId="0" borderId="22" xfId="0" applyNumberFormat="1" applyFont="1" applyBorder="1" applyAlignment="1">
      <alignment horizontal="right"/>
    </xf>
    <xf numFmtId="0" fontId="83" fillId="0" borderId="0" xfId="0" applyFont="1" applyAlignment="1"/>
    <xf numFmtId="0" fontId="35" fillId="0" borderId="0" xfId="0" applyFont="1" applyAlignment="1"/>
    <xf numFmtId="3" fontId="33" fillId="0" borderId="167" xfId="0" applyNumberFormat="1" applyFont="1" applyBorder="1"/>
    <xf numFmtId="3" fontId="33" fillId="0" borderId="168" xfId="0" applyNumberFormat="1" applyFont="1" applyBorder="1"/>
    <xf numFmtId="3" fontId="33" fillId="0" borderId="169" xfId="0" applyNumberFormat="1" applyFont="1" applyBorder="1"/>
    <xf numFmtId="3" fontId="33" fillId="0" borderId="24" xfId="0" applyNumberFormat="1" applyFont="1" applyFill="1" applyBorder="1"/>
    <xf numFmtId="3" fontId="33" fillId="0" borderId="25" xfId="0" applyNumberFormat="1" applyFont="1" applyFill="1" applyBorder="1"/>
    <xf numFmtId="0" fontId="84" fillId="0" borderId="0" xfId="0" applyFont="1" applyAlignment="1"/>
    <xf numFmtId="0" fontId="58" fillId="0" borderId="108" xfId="0" applyFont="1" applyBorder="1"/>
    <xf numFmtId="171" fontId="42" fillId="3" borderId="57" xfId="0" applyNumberFormat="1" applyFont="1" applyFill="1" applyBorder="1"/>
    <xf numFmtId="0" fontId="20" fillId="0" borderId="1" xfId="3"/>
    <xf numFmtId="0" fontId="85" fillId="0" borderId="172" xfId="3" applyFont="1" applyBorder="1"/>
    <xf numFmtId="0" fontId="20" fillId="0" borderId="172" xfId="3" applyBorder="1"/>
    <xf numFmtId="0" fontId="20" fillId="0" borderId="172" xfId="3" applyBorder="1" applyAlignment="1">
      <alignment horizontal="left" indent="1"/>
    </xf>
    <xf numFmtId="0" fontId="85" fillId="0" borderId="189" xfId="3" applyFont="1" applyBorder="1"/>
    <xf numFmtId="0" fontId="85" fillId="18" borderId="170" xfId="3" applyFont="1" applyFill="1" applyBorder="1" applyAlignment="1">
      <alignment horizontal="center"/>
    </xf>
    <xf numFmtId="0" fontId="85" fillId="18" borderId="177" xfId="3" applyFont="1" applyFill="1" applyBorder="1" applyAlignment="1">
      <alignment horizontal="center"/>
    </xf>
    <xf numFmtId="0" fontId="85" fillId="18" borderId="178" xfId="3" applyFont="1" applyFill="1" applyBorder="1" applyAlignment="1">
      <alignment horizontal="center"/>
    </xf>
    <xf numFmtId="0" fontId="85" fillId="18" borderId="127" xfId="3" applyFont="1" applyFill="1" applyBorder="1" applyAlignment="1">
      <alignment horizontal="center"/>
    </xf>
    <xf numFmtId="0" fontId="85" fillId="18" borderId="171" xfId="3" applyFont="1" applyFill="1" applyBorder="1" applyAlignment="1">
      <alignment horizontal="center"/>
    </xf>
    <xf numFmtId="0" fontId="85" fillId="19" borderId="170" xfId="3" applyFont="1" applyFill="1" applyBorder="1" applyAlignment="1">
      <alignment horizontal="center"/>
    </xf>
    <xf numFmtId="0" fontId="85" fillId="19" borderId="177" xfId="3" applyFont="1" applyFill="1" applyBorder="1" applyAlignment="1">
      <alignment horizontal="center"/>
    </xf>
    <xf numFmtId="0" fontId="85" fillId="19" borderId="178" xfId="3" applyFont="1" applyFill="1" applyBorder="1" applyAlignment="1">
      <alignment horizontal="center"/>
    </xf>
    <xf numFmtId="0" fontId="85" fillId="19" borderId="179" xfId="3" applyFont="1" applyFill="1" applyBorder="1" applyAlignment="1">
      <alignment horizontal="center"/>
    </xf>
    <xf numFmtId="0" fontId="85" fillId="19" borderId="127" xfId="3" applyFont="1" applyFill="1" applyBorder="1" applyAlignment="1">
      <alignment horizontal="center"/>
    </xf>
    <xf numFmtId="0" fontId="85" fillId="19" borderId="171" xfId="3" applyFont="1" applyFill="1" applyBorder="1" applyAlignment="1">
      <alignment horizontal="center"/>
    </xf>
    <xf numFmtId="0" fontId="20" fillId="0" borderId="1" xfId="3" applyAlignment="1">
      <alignment horizontal="center"/>
    </xf>
    <xf numFmtId="0" fontId="85" fillId="11" borderId="170" xfId="3" applyFont="1" applyFill="1" applyBorder="1" applyAlignment="1">
      <alignment horizontal="center"/>
    </xf>
    <xf numFmtId="0" fontId="85" fillId="11" borderId="177" xfId="3" applyFont="1" applyFill="1" applyBorder="1" applyAlignment="1">
      <alignment horizontal="center"/>
    </xf>
    <xf numFmtId="0" fontId="85" fillId="11" borderId="178" xfId="3" applyFont="1" applyFill="1" applyBorder="1" applyAlignment="1">
      <alignment horizontal="center"/>
    </xf>
    <xf numFmtId="0" fontId="85" fillId="11" borderId="127" xfId="3" applyFont="1" applyFill="1" applyBorder="1" applyAlignment="1">
      <alignment horizontal="center"/>
    </xf>
    <xf numFmtId="0" fontId="85" fillId="11" borderId="171" xfId="3" applyFont="1" applyFill="1" applyBorder="1" applyAlignment="1">
      <alignment horizontal="center"/>
    </xf>
    <xf numFmtId="37" fontId="85" fillId="0" borderId="180" xfId="3" applyNumberFormat="1" applyFont="1" applyBorder="1" applyAlignment="1">
      <alignment horizontal="center"/>
    </xf>
    <xf numFmtId="1" fontId="85" fillId="0" borderId="181" xfId="3" applyNumberFormat="1" applyFont="1" applyBorder="1" applyAlignment="1">
      <alignment horizontal="center"/>
    </xf>
    <xf numFmtId="1" fontId="85" fillId="0" borderId="161" xfId="3" applyNumberFormat="1" applyFont="1" applyBorder="1" applyAlignment="1">
      <alignment horizontal="center"/>
    </xf>
    <xf numFmtId="1" fontId="85" fillId="0" borderId="173" xfId="3" applyNumberFormat="1" applyFont="1" applyBorder="1" applyAlignment="1">
      <alignment horizontal="center"/>
    </xf>
    <xf numFmtId="167" fontId="85" fillId="0" borderId="180" xfId="3" applyNumberFormat="1" applyFont="1" applyBorder="1" applyAlignment="1">
      <alignment horizontal="center"/>
    </xf>
    <xf numFmtId="167" fontId="85" fillId="0" borderId="181" xfId="3" applyNumberFormat="1" applyFont="1" applyBorder="1" applyAlignment="1">
      <alignment horizontal="center"/>
    </xf>
    <xf numFmtId="167" fontId="85" fillId="0" borderId="161" xfId="3" applyNumberFormat="1" applyFont="1" applyBorder="1" applyAlignment="1">
      <alignment horizontal="center"/>
    </xf>
    <xf numFmtId="167" fontId="85" fillId="0" borderId="173" xfId="3" applyNumberFormat="1" applyFont="1" applyBorder="1" applyAlignment="1">
      <alignment horizontal="center"/>
    </xf>
    <xf numFmtId="0" fontId="20" fillId="0" borderId="174" xfId="3" applyBorder="1"/>
    <xf numFmtId="0" fontId="85" fillId="20" borderId="170" xfId="3" applyFont="1" applyFill="1" applyBorder="1" applyAlignment="1">
      <alignment horizontal="center"/>
    </xf>
    <xf numFmtId="0" fontId="85" fillId="20" borderId="177" xfId="3" applyFont="1" applyFill="1" applyBorder="1" applyAlignment="1">
      <alignment horizontal="center"/>
    </xf>
    <xf numFmtId="0" fontId="85" fillId="20" borderId="178" xfId="3" applyFont="1" applyFill="1" applyBorder="1" applyAlignment="1">
      <alignment horizontal="center"/>
    </xf>
    <xf numFmtId="0" fontId="85" fillId="20" borderId="127" xfId="3" applyFont="1" applyFill="1" applyBorder="1" applyAlignment="1">
      <alignment horizontal="center"/>
    </xf>
    <xf numFmtId="0" fontId="85" fillId="20" borderId="171" xfId="3" applyFont="1" applyFill="1" applyBorder="1" applyAlignment="1">
      <alignment horizontal="center"/>
    </xf>
    <xf numFmtId="0" fontId="85" fillId="0" borderId="172" xfId="3" applyFont="1" applyBorder="1" applyAlignment="1">
      <alignment horizontal="left"/>
    </xf>
    <xf numFmtId="9" fontId="85" fillId="0" borderId="183" xfId="4" applyFont="1" applyBorder="1" applyAlignment="1">
      <alignment horizontal="center"/>
    </xf>
    <xf numFmtId="9" fontId="85" fillId="0" borderId="184" xfId="4" applyFont="1" applyBorder="1" applyAlignment="1">
      <alignment horizontal="center"/>
    </xf>
    <xf numFmtId="9" fontId="85" fillId="0" borderId="185" xfId="4" applyFont="1" applyBorder="1" applyAlignment="1">
      <alignment horizontal="center"/>
    </xf>
    <xf numFmtId="9" fontId="85" fillId="0" borderId="180" xfId="4" applyFont="1" applyBorder="1" applyAlignment="1">
      <alignment horizontal="center"/>
    </xf>
    <xf numFmtId="9" fontId="85" fillId="0" borderId="181" xfId="4" applyFont="1" applyBorder="1" applyAlignment="1">
      <alignment horizontal="center"/>
    </xf>
    <xf numFmtId="9" fontId="85" fillId="0" borderId="182" xfId="4" applyFont="1" applyBorder="1" applyAlignment="1">
      <alignment horizontal="center"/>
    </xf>
    <xf numFmtId="0" fontId="85" fillId="21" borderId="170" xfId="3" applyFont="1" applyFill="1" applyBorder="1" applyAlignment="1">
      <alignment horizontal="center"/>
    </xf>
    <xf numFmtId="0" fontId="85" fillId="21" borderId="177" xfId="3" applyFont="1" applyFill="1" applyBorder="1" applyAlignment="1">
      <alignment horizontal="center"/>
    </xf>
    <xf numFmtId="0" fontId="85" fillId="21" borderId="178" xfId="3" applyFont="1" applyFill="1" applyBorder="1" applyAlignment="1">
      <alignment horizontal="center"/>
    </xf>
    <xf numFmtId="0" fontId="85" fillId="21" borderId="127" xfId="3" applyFont="1" applyFill="1" applyBorder="1" applyAlignment="1">
      <alignment horizontal="center"/>
    </xf>
    <xf numFmtId="0" fontId="85" fillId="21" borderId="171" xfId="3" applyFont="1" applyFill="1" applyBorder="1" applyAlignment="1">
      <alignment horizontal="center"/>
    </xf>
    <xf numFmtId="0" fontId="36" fillId="0" borderId="101" xfId="0" applyFont="1" applyBorder="1"/>
    <xf numFmtId="0" fontId="36" fillId="0" borderId="195" xfId="0" applyFont="1" applyBorder="1"/>
    <xf numFmtId="0" fontId="36" fillId="0" borderId="54" xfId="0" applyFont="1" applyBorder="1" applyAlignment="1">
      <alignment horizontal="right"/>
    </xf>
    <xf numFmtId="0" fontId="36" fillId="0" borderId="54" xfId="0" applyFont="1" applyBorder="1"/>
    <xf numFmtId="37" fontId="36" fillId="0" borderId="196" xfId="0" applyNumberFormat="1" applyFont="1" applyBorder="1"/>
    <xf numFmtId="0" fontId="36" fillId="0" borderId="197" xfId="0" applyFont="1" applyBorder="1"/>
    <xf numFmtId="172" fontId="36" fillId="0" borderId="54" xfId="0" applyNumberFormat="1" applyFont="1" applyBorder="1"/>
    <xf numFmtId="37" fontId="36" fillId="0" borderId="197" xfId="0" applyNumberFormat="1" applyFont="1" applyBorder="1"/>
    <xf numFmtId="37" fontId="36" fillId="0" borderId="54" xfId="0" applyNumberFormat="1" applyFont="1" applyBorder="1"/>
    <xf numFmtId="171" fontId="36" fillId="0" borderId="54" xfId="0" applyNumberFormat="1" applyFont="1" applyBorder="1"/>
    <xf numFmtId="37" fontId="36" fillId="0" borderId="198" xfId="0" applyNumberFormat="1" applyFont="1" applyBorder="1"/>
    <xf numFmtId="171" fontId="36" fillId="0" borderId="199" xfId="0" applyNumberFormat="1" applyFont="1" applyBorder="1"/>
    <xf numFmtId="1" fontId="55" fillId="10" borderId="44" xfId="0" applyNumberFormat="1" applyFont="1" applyFill="1" applyBorder="1" applyAlignment="1">
      <alignment horizontal="left" vertical="top"/>
    </xf>
    <xf numFmtId="0" fontId="59" fillId="22" borderId="104" xfId="0" applyFont="1" applyFill="1" applyBorder="1" applyAlignment="1">
      <alignment horizontal="center"/>
    </xf>
    <xf numFmtId="0" fontId="58" fillId="22" borderId="107" xfId="0" applyFont="1" applyFill="1" applyBorder="1"/>
    <xf numFmtId="3" fontId="58" fillId="22" borderId="108" xfId="0" applyNumberFormat="1" applyFont="1" applyFill="1" applyBorder="1" applyAlignment="1">
      <alignment horizontal="center"/>
    </xf>
    <xf numFmtId="3" fontId="58" fillId="22" borderId="0" xfId="0" applyNumberFormat="1" applyFont="1" applyFill="1" applyAlignment="1">
      <alignment horizontal="center"/>
    </xf>
    <xf numFmtId="3" fontId="58" fillId="22" borderId="109" xfId="0" applyNumberFormat="1" applyFont="1" applyFill="1" applyBorder="1" applyAlignment="1">
      <alignment horizontal="center"/>
    </xf>
    <xf numFmtId="0" fontId="58" fillId="22" borderId="110" xfId="0" applyFont="1" applyFill="1" applyBorder="1"/>
    <xf numFmtId="3" fontId="58" fillId="22" borderId="110" xfId="0" applyNumberFormat="1" applyFont="1" applyFill="1" applyBorder="1" applyAlignment="1">
      <alignment horizontal="center"/>
    </xf>
    <xf numFmtId="3" fontId="58" fillId="22" borderId="103" xfId="0" applyNumberFormat="1" applyFont="1" applyFill="1" applyBorder="1" applyAlignment="1">
      <alignment horizontal="center"/>
    </xf>
    <xf numFmtId="3" fontId="58" fillId="22" borderId="111" xfId="0" applyNumberFormat="1" applyFont="1" applyFill="1" applyBorder="1" applyAlignment="1">
      <alignment horizontal="right"/>
    </xf>
    <xf numFmtId="3" fontId="58" fillId="22" borderId="111" xfId="0" applyNumberFormat="1" applyFont="1" applyFill="1" applyBorder="1" applyAlignment="1" applyProtection="1">
      <alignment horizontal="right"/>
      <protection locked="0"/>
    </xf>
    <xf numFmtId="0" fontId="58" fillId="22" borderId="108" xfId="0" applyFont="1" applyFill="1" applyBorder="1"/>
    <xf numFmtId="3" fontId="58" fillId="22" borderId="108" xfId="0" applyNumberFormat="1" applyFont="1" applyFill="1" applyBorder="1"/>
    <xf numFmtId="3" fontId="58" fillId="22" borderId="0" xfId="0" applyNumberFormat="1" applyFont="1" applyFill="1"/>
    <xf numFmtId="3" fontId="58" fillId="22" borderId="109" xfId="0" applyNumberFormat="1" applyFont="1" applyFill="1" applyBorder="1"/>
    <xf numFmtId="3" fontId="58" fillId="22" borderId="108" xfId="0" applyNumberFormat="1" applyFont="1" applyFill="1" applyBorder="1" applyProtection="1">
      <protection locked="0"/>
    </xf>
    <xf numFmtId="3" fontId="58" fillId="22" borderId="109" xfId="0" applyNumberFormat="1" applyFont="1" applyFill="1" applyBorder="1" applyProtection="1">
      <protection locked="0"/>
    </xf>
    <xf numFmtId="0" fontId="59" fillId="22" borderId="107" xfId="0" applyFont="1" applyFill="1" applyBorder="1"/>
    <xf numFmtId="3" fontId="59" fillId="22" borderId="107" xfId="0" applyNumberFormat="1" applyFont="1" applyFill="1" applyBorder="1"/>
    <xf numFmtId="3" fontId="59" fillId="22" borderId="112" xfId="0" applyNumberFormat="1" applyFont="1" applyFill="1" applyBorder="1"/>
    <xf numFmtId="3" fontId="59" fillId="22" borderId="113" xfId="0" applyNumberFormat="1" applyFont="1" applyFill="1" applyBorder="1"/>
    <xf numFmtId="0" fontId="58" fillId="22" borderId="109" xfId="0" applyFont="1" applyFill="1" applyBorder="1"/>
    <xf numFmtId="0" fontId="59" fillId="22" borderId="114" xfId="0" applyFont="1" applyFill="1" applyBorder="1"/>
    <xf numFmtId="3" fontId="58" fillId="22" borderId="114" xfId="0" applyNumberFormat="1" applyFont="1" applyFill="1" applyBorder="1"/>
    <xf numFmtId="3" fontId="58" fillId="22" borderId="53" xfId="0" applyNumberFormat="1" applyFont="1" applyFill="1" applyBorder="1"/>
    <xf numFmtId="3" fontId="58" fillId="22" borderId="115" xfId="0" applyNumberFormat="1" applyFont="1" applyFill="1" applyBorder="1"/>
    <xf numFmtId="3" fontId="58" fillId="22" borderId="114" xfId="0" applyNumberFormat="1" applyFont="1" applyFill="1" applyBorder="1" applyProtection="1">
      <protection locked="0"/>
    </xf>
    <xf numFmtId="3" fontId="58" fillId="22" borderId="115" xfId="0" applyNumberFormat="1" applyFont="1" applyFill="1" applyBorder="1" applyProtection="1">
      <protection locked="0"/>
    </xf>
    <xf numFmtId="0" fontId="59" fillId="22" borderId="108" xfId="0" applyFont="1" applyFill="1" applyBorder="1"/>
    <xf numFmtId="3" fontId="58" fillId="22" borderId="107" xfId="0" applyNumberFormat="1" applyFont="1" applyFill="1" applyBorder="1"/>
    <xf numFmtId="3" fontId="58" fillId="22" borderId="112" xfId="0" applyNumberFormat="1" applyFont="1" applyFill="1" applyBorder="1"/>
    <xf numFmtId="3" fontId="58" fillId="22" borderId="113" xfId="0" applyNumberFormat="1" applyFont="1" applyFill="1" applyBorder="1"/>
    <xf numFmtId="0" fontId="59" fillId="22" borderId="110" xfId="0" applyFont="1" applyFill="1" applyBorder="1"/>
    <xf numFmtId="0" fontId="58" fillId="22" borderId="0" xfId="0" applyFont="1" applyFill="1"/>
    <xf numFmtId="37" fontId="58" fillId="22" borderId="109" xfId="0" applyNumberFormat="1" applyFont="1" applyFill="1" applyBorder="1"/>
    <xf numFmtId="0" fontId="59" fillId="23" borderId="116" xfId="0" applyFont="1" applyFill="1" applyBorder="1"/>
    <xf numFmtId="37" fontId="59" fillId="23" borderId="116" xfId="0" applyNumberFormat="1" applyFont="1" applyFill="1" applyBorder="1"/>
    <xf numFmtId="172" fontId="59" fillId="23" borderId="117" xfId="0" applyNumberFormat="1" applyFont="1" applyFill="1" applyBorder="1"/>
    <xf numFmtId="37" fontId="59" fillId="23" borderId="118" xfId="0" applyNumberFormat="1" applyFont="1" applyFill="1" applyBorder="1"/>
    <xf numFmtId="0" fontId="59" fillId="23" borderId="119" xfId="0" applyFont="1" applyFill="1" applyBorder="1"/>
    <xf numFmtId="0" fontId="59" fillId="23" borderId="120" xfId="0" applyFont="1" applyFill="1" applyBorder="1"/>
    <xf numFmtId="0" fontId="59" fillId="23" borderId="121" xfId="0" applyFont="1" applyFill="1" applyBorder="1"/>
    <xf numFmtId="0" fontId="59" fillId="24" borderId="108" xfId="0" applyFont="1" applyFill="1" applyBorder="1"/>
    <xf numFmtId="0" fontId="59" fillId="24" borderId="0" xfId="0" applyFont="1" applyFill="1"/>
    <xf numFmtId="0" fontId="59" fillId="24" borderId="109" xfId="0" applyFont="1" applyFill="1" applyBorder="1"/>
    <xf numFmtId="0" fontId="59" fillId="22" borderId="108" xfId="0" applyFont="1" applyFill="1" applyBorder="1" applyAlignment="1">
      <alignment horizontal="left"/>
    </xf>
    <xf numFmtId="0" fontId="58" fillId="22" borderId="0" xfId="0" applyFont="1" applyFill="1" applyAlignment="1">
      <alignment horizontal="center"/>
    </xf>
    <xf numFmtId="9" fontId="58" fillId="22" borderId="108" xfId="1" applyFont="1" applyFill="1" applyBorder="1"/>
    <xf numFmtId="37" fontId="58" fillId="22" borderId="0" xfId="0" applyNumberFormat="1" applyFont="1" applyFill="1"/>
    <xf numFmtId="37" fontId="58" fillId="22" borderId="109" xfId="0" applyNumberFormat="1" applyFont="1" applyFill="1" applyBorder="1" applyProtection="1">
      <protection locked="0"/>
    </xf>
    <xf numFmtId="9" fontId="58" fillId="22" borderId="110" xfId="1" applyFont="1" applyFill="1" applyBorder="1"/>
    <xf numFmtId="37" fontId="58" fillId="22" borderId="103" xfId="0" applyNumberFormat="1" applyFont="1" applyFill="1" applyBorder="1"/>
    <xf numFmtId="37" fontId="58" fillId="22" borderId="111" xfId="0" applyNumberFormat="1" applyFont="1" applyFill="1" applyBorder="1"/>
    <xf numFmtId="37" fontId="58" fillId="22" borderId="111" xfId="0" applyNumberFormat="1" applyFont="1" applyFill="1" applyBorder="1" applyProtection="1">
      <protection locked="0"/>
    </xf>
    <xf numFmtId="0" fontId="59" fillId="23" borderId="122" xfId="0" applyFont="1" applyFill="1" applyBorder="1"/>
    <xf numFmtId="0" fontId="59" fillId="23" borderId="122" xfId="0" applyFont="1" applyFill="1" applyBorder="1" applyAlignment="1">
      <alignment horizontal="center"/>
    </xf>
    <xf numFmtId="171" fontId="59" fillId="23" borderId="123" xfId="0" applyNumberFormat="1" applyFont="1" applyFill="1" applyBorder="1"/>
    <xf numFmtId="37" fontId="59" fillId="23" borderId="124" xfId="0" applyNumberFormat="1" applyFont="1" applyFill="1" applyBorder="1"/>
    <xf numFmtId="0" fontId="62" fillId="22" borderId="108" xfId="0" applyFont="1" applyFill="1" applyBorder="1"/>
    <xf numFmtId="0" fontId="62" fillId="22" borderId="110" xfId="0" applyFont="1" applyFill="1" applyBorder="1"/>
    <xf numFmtId="0" fontId="58" fillId="22" borderId="112" xfId="0" applyFont="1" applyFill="1" applyBorder="1"/>
    <xf numFmtId="37" fontId="58" fillId="22" borderId="113" xfId="0" applyNumberFormat="1" applyFont="1" applyFill="1" applyBorder="1"/>
    <xf numFmtId="37" fontId="58" fillId="22" borderId="113" xfId="0" applyNumberFormat="1" applyFont="1" applyFill="1" applyBorder="1" applyProtection="1">
      <protection locked="0"/>
    </xf>
    <xf numFmtId="0" fontId="62" fillId="24" borderId="108" xfId="0" applyFont="1" applyFill="1" applyBorder="1"/>
    <xf numFmtId="0" fontId="58" fillId="22" borderId="103" xfId="0" applyFont="1" applyFill="1" applyBorder="1"/>
    <xf numFmtId="0" fontId="58" fillId="22" borderId="114" xfId="0" applyFont="1" applyFill="1" applyBorder="1"/>
    <xf numFmtId="0" fontId="58" fillId="22" borderId="53" xfId="0" applyFont="1" applyFill="1" applyBorder="1"/>
    <xf numFmtId="37" fontId="58" fillId="22" borderId="115" xfId="0" applyNumberFormat="1" applyFont="1" applyFill="1" applyBorder="1"/>
    <xf numFmtId="37" fontId="58" fillId="22" borderId="115" xfId="0" applyNumberFormat="1" applyFont="1" applyFill="1" applyBorder="1" applyProtection="1">
      <protection locked="0"/>
    </xf>
    <xf numFmtId="0" fontId="59" fillId="23" borderId="125" xfId="0" applyFont="1" applyFill="1" applyBorder="1"/>
    <xf numFmtId="37" fontId="59" fillId="23" borderId="126" xfId="0" applyNumberFormat="1" applyFont="1" applyFill="1" applyBorder="1"/>
    <xf numFmtId="0" fontId="59" fillId="23" borderId="127" xfId="0" applyFont="1" applyFill="1" applyBorder="1"/>
    <xf numFmtId="0" fontId="59" fillId="23" borderId="128" xfId="0" applyFont="1" applyFill="1" applyBorder="1" applyAlignment="1">
      <alignment horizontal="center"/>
    </xf>
    <xf numFmtId="171" fontId="59" fillId="23" borderId="129" xfId="0" applyNumberFormat="1" applyFont="1" applyFill="1" applyBorder="1"/>
    <xf numFmtId="37" fontId="59" fillId="23" borderId="130" xfId="0" applyNumberFormat="1" applyFont="1" applyFill="1" applyBorder="1"/>
    <xf numFmtId="0" fontId="58" fillId="24" borderId="110" xfId="0" applyFont="1" applyFill="1" applyBorder="1"/>
    <xf numFmtId="0" fontId="58" fillId="24" borderId="103" xfId="0" applyFont="1" applyFill="1" applyBorder="1"/>
    <xf numFmtId="37" fontId="59" fillId="24" borderId="109" xfId="0" applyNumberFormat="1" applyFont="1" applyFill="1" applyBorder="1"/>
    <xf numFmtId="0" fontId="59" fillId="23" borderId="131" xfId="0" applyFont="1" applyFill="1" applyBorder="1"/>
    <xf numFmtId="0" fontId="58" fillId="23" borderId="131" xfId="0" applyFont="1" applyFill="1" applyBorder="1"/>
    <xf numFmtId="0" fontId="58" fillId="23" borderId="132" xfId="0" applyFont="1" applyFill="1" applyBorder="1"/>
    <xf numFmtId="37" fontId="59" fillId="23" borderId="133" xfId="0" applyNumberFormat="1" applyFont="1" applyFill="1" applyBorder="1"/>
    <xf numFmtId="0" fontId="71" fillId="22" borderId="0" xfId="0" applyFont="1" applyFill="1"/>
    <xf numFmtId="37" fontId="71" fillId="22" borderId="0" xfId="0" applyNumberFormat="1" applyFont="1" applyFill="1"/>
    <xf numFmtId="0" fontId="69" fillId="22" borderId="0" xfId="0" applyFont="1" applyFill="1"/>
    <xf numFmtId="0" fontId="68" fillId="22" borderId="0" xfId="0" applyFont="1" applyFill="1"/>
    <xf numFmtId="0" fontId="67" fillId="22" borderId="0" xfId="0" applyFont="1" applyFill="1"/>
    <xf numFmtId="170" fontId="69" fillId="22" borderId="0" xfId="0" applyNumberFormat="1" applyFont="1" applyFill="1" applyAlignment="1">
      <alignment horizontal="left"/>
    </xf>
    <xf numFmtId="0" fontId="58" fillId="22" borderId="108" xfId="0" applyFont="1" applyFill="1" applyBorder="1" applyAlignment="1">
      <alignment horizontal="center"/>
    </xf>
    <xf numFmtId="0" fontId="58" fillId="22" borderId="109" xfId="0" applyFont="1" applyFill="1" applyBorder="1" applyAlignment="1">
      <alignment horizontal="center"/>
    </xf>
    <xf numFmtId="3" fontId="58" fillId="22" borderId="111" xfId="0" applyNumberFormat="1" applyFont="1" applyFill="1" applyBorder="1" applyAlignment="1" applyProtection="1">
      <alignment horizontal="center"/>
      <protection locked="0"/>
    </xf>
    <xf numFmtId="3" fontId="58" fillId="22" borderId="110" xfId="0" applyNumberFormat="1" applyFont="1" applyFill="1" applyBorder="1"/>
    <xf numFmtId="3" fontId="58" fillId="22" borderId="103" xfId="0" applyNumberFormat="1" applyFont="1" applyFill="1" applyBorder="1"/>
    <xf numFmtId="3" fontId="58" fillId="22" borderId="111" xfId="0" applyNumberFormat="1" applyFont="1" applyFill="1" applyBorder="1"/>
    <xf numFmtId="0" fontId="59" fillId="22" borderId="0" xfId="0" applyFont="1" applyFill="1"/>
    <xf numFmtId="0" fontId="59" fillId="22" borderId="109" xfId="0" applyFont="1" applyFill="1" applyBorder="1"/>
    <xf numFmtId="0" fontId="58" fillId="22" borderId="108" xfId="0" applyFont="1" applyFill="1" applyBorder="1" applyAlignment="1">
      <alignment horizontal="right"/>
    </xf>
    <xf numFmtId="171" fontId="58" fillId="22" borderId="0" xfId="0" applyNumberFormat="1" applyFont="1" applyFill="1"/>
    <xf numFmtId="0" fontId="59" fillId="23" borderId="125" xfId="0" applyFont="1" applyFill="1" applyBorder="1" applyAlignment="1">
      <alignment horizontal="center"/>
    </xf>
    <xf numFmtId="171" fontId="59" fillId="23" borderId="134" xfId="0" applyNumberFormat="1" applyFont="1" applyFill="1" applyBorder="1"/>
    <xf numFmtId="0" fontId="59" fillId="23" borderId="132" xfId="0" applyFont="1" applyFill="1" applyBorder="1"/>
    <xf numFmtId="37" fontId="69" fillId="22" borderId="0" xfId="0" applyNumberFormat="1" applyFont="1" applyFill="1"/>
    <xf numFmtId="37" fontId="58" fillId="22" borderId="108" xfId="0" applyNumberFormat="1" applyFont="1" applyFill="1" applyBorder="1"/>
    <xf numFmtId="37" fontId="58" fillId="22" borderId="108" xfId="0" applyNumberFormat="1" applyFont="1" applyFill="1" applyBorder="1" applyProtection="1">
      <protection locked="0"/>
    </xf>
    <xf numFmtId="37" fontId="58" fillId="22" borderId="0" xfId="0" applyNumberFormat="1" applyFont="1" applyFill="1" applyProtection="1">
      <protection locked="0"/>
    </xf>
    <xf numFmtId="171" fontId="58" fillId="22" borderId="109" xfId="0" applyNumberFormat="1" applyFont="1" applyFill="1" applyBorder="1"/>
    <xf numFmtId="37" fontId="58" fillId="22" borderId="110" xfId="0" applyNumberFormat="1" applyFont="1" applyFill="1" applyBorder="1"/>
    <xf numFmtId="2" fontId="58" fillId="22" borderId="103" xfId="0" applyNumberFormat="1" applyFont="1" applyFill="1" applyBorder="1"/>
    <xf numFmtId="171" fontId="58" fillId="22" borderId="111" xfId="0" applyNumberFormat="1" applyFont="1" applyFill="1" applyBorder="1"/>
    <xf numFmtId="37" fontId="58" fillId="22" borderId="107" xfId="0" applyNumberFormat="1" applyFont="1" applyFill="1" applyBorder="1"/>
    <xf numFmtId="37" fontId="58" fillId="22" borderId="112" xfId="0" applyNumberFormat="1" applyFont="1" applyFill="1" applyBorder="1"/>
    <xf numFmtId="37" fontId="58" fillId="22" borderId="107" xfId="0" applyNumberFormat="1" applyFont="1" applyFill="1" applyBorder="1" applyProtection="1">
      <protection locked="0"/>
    </xf>
    <xf numFmtId="37" fontId="58" fillId="22" borderId="112" xfId="0" applyNumberFormat="1" applyFont="1" applyFill="1" applyBorder="1" applyProtection="1">
      <protection locked="0"/>
    </xf>
    <xf numFmtId="172" fontId="58" fillId="22" borderId="0" xfId="0" applyNumberFormat="1" applyFont="1" applyFill="1"/>
    <xf numFmtId="173" fontId="58" fillId="22" borderId="0" xfId="0" applyNumberFormat="1" applyFont="1" applyFill="1"/>
    <xf numFmtId="37" fontId="59" fillId="22" borderId="108" xfId="0" applyNumberFormat="1" applyFont="1" applyFill="1" applyBorder="1"/>
    <xf numFmtId="172" fontId="59" fillId="22" borderId="0" xfId="0" applyNumberFormat="1" applyFont="1" applyFill="1"/>
    <xf numFmtId="37" fontId="59" fillId="22" borderId="110" xfId="0" applyNumberFormat="1" applyFont="1" applyFill="1" applyBorder="1"/>
    <xf numFmtId="173" fontId="58" fillId="22" borderId="103" xfId="0" applyNumberFormat="1" applyFont="1" applyFill="1" applyBorder="1"/>
    <xf numFmtId="0" fontId="59" fillId="24" borderId="116" xfId="0" applyFont="1" applyFill="1" applyBorder="1"/>
    <xf numFmtId="37" fontId="59" fillId="24" borderId="116" xfId="0" applyNumberFormat="1" applyFont="1" applyFill="1" applyBorder="1"/>
    <xf numFmtId="37" fontId="59" fillId="24" borderId="117" xfId="0" applyNumberFormat="1" applyFont="1" applyFill="1" applyBorder="1"/>
    <xf numFmtId="37" fontId="59" fillId="24" borderId="118" xfId="0" applyNumberFormat="1" applyFont="1" applyFill="1" applyBorder="1"/>
    <xf numFmtId="0" fontId="59" fillId="24" borderId="110" xfId="0" applyFont="1" applyFill="1" applyBorder="1"/>
    <xf numFmtId="37" fontId="59" fillId="24" borderId="110" xfId="0" applyNumberFormat="1" applyFont="1" applyFill="1" applyBorder="1"/>
    <xf numFmtId="39" fontId="59" fillId="24" borderId="103" xfId="0" applyNumberFormat="1" applyFont="1" applyFill="1" applyBorder="1"/>
    <xf numFmtId="171" fontId="59" fillId="22" borderId="109" xfId="0" applyNumberFormat="1" applyFont="1" applyFill="1" applyBorder="1"/>
    <xf numFmtId="0" fontId="59" fillId="24" borderId="107" xfId="0" applyFont="1" applyFill="1" applyBorder="1"/>
    <xf numFmtId="37" fontId="58" fillId="22" borderId="135" xfId="0" applyNumberFormat="1" applyFont="1" applyFill="1" applyBorder="1"/>
    <xf numFmtId="0" fontId="58" fillId="24" borderId="108" xfId="0" applyFont="1" applyFill="1" applyBorder="1"/>
    <xf numFmtId="172" fontId="58" fillId="22" borderId="0" xfId="0" applyNumberFormat="1" applyFont="1" applyFill="1" applyProtection="1">
      <protection locked="0"/>
    </xf>
    <xf numFmtId="0" fontId="58" fillId="24" borderId="136" xfId="0" applyFont="1" applyFill="1" applyBorder="1"/>
    <xf numFmtId="172" fontId="58" fillId="22" borderId="112" xfId="0" applyNumberFormat="1" applyFont="1" applyFill="1" applyBorder="1"/>
    <xf numFmtId="172" fontId="58" fillId="22" borderId="112" xfId="0" applyNumberFormat="1" applyFont="1" applyFill="1" applyBorder="1" applyProtection="1">
      <protection locked="0"/>
    </xf>
    <xf numFmtId="172" fontId="58" fillId="22" borderId="103" xfId="0" applyNumberFormat="1" applyFont="1" applyFill="1" applyBorder="1"/>
    <xf numFmtId="37" fontId="59" fillId="24" borderId="107" xfId="0" applyNumberFormat="1" applyFont="1" applyFill="1" applyBorder="1"/>
    <xf numFmtId="172" fontId="59" fillId="24" borderId="112" xfId="0" applyNumberFormat="1" applyFont="1" applyFill="1" applyBorder="1"/>
    <xf numFmtId="37" fontId="59" fillId="24" borderId="113" xfId="0" applyNumberFormat="1" applyFont="1" applyFill="1" applyBorder="1"/>
    <xf numFmtId="37" fontId="59" fillId="23" borderId="117" xfId="0" applyNumberFormat="1" applyFont="1" applyFill="1" applyBorder="1"/>
    <xf numFmtId="171" fontId="59" fillId="23" borderId="121" xfId="0" applyNumberFormat="1" applyFont="1" applyFill="1" applyBorder="1"/>
    <xf numFmtId="171" fontId="59" fillId="24" borderId="109" xfId="0" applyNumberFormat="1" applyFont="1" applyFill="1" applyBorder="1"/>
    <xf numFmtId="0" fontId="62" fillId="22" borderId="107" xfId="0" applyFont="1" applyFill="1" applyBorder="1"/>
    <xf numFmtId="0" fontId="62" fillId="22" borderId="136" xfId="0" applyFont="1" applyFill="1" applyBorder="1"/>
    <xf numFmtId="0" fontId="59" fillId="23" borderId="137" xfId="0" applyFont="1" applyFill="1" applyBorder="1"/>
    <xf numFmtId="37" fontId="59" fillId="22" borderId="107" xfId="0" applyNumberFormat="1" applyFont="1" applyFill="1" applyBorder="1"/>
    <xf numFmtId="171" fontId="59" fillId="22" borderId="112" xfId="0" applyNumberFormat="1" applyFont="1" applyFill="1" applyBorder="1"/>
    <xf numFmtId="37" fontId="59" fillId="22" borderId="113" xfId="0" applyNumberFormat="1" applyFont="1" applyFill="1" applyBorder="1"/>
    <xf numFmtId="0" fontId="58" fillId="22" borderId="111" xfId="0" applyFont="1" applyFill="1" applyBorder="1"/>
    <xf numFmtId="37" fontId="58" fillId="22" borderId="114" xfId="0" applyNumberFormat="1" applyFont="1" applyFill="1" applyBorder="1"/>
    <xf numFmtId="171" fontId="58" fillId="22" borderId="53" xfId="0" applyNumberFormat="1" applyFont="1" applyFill="1" applyBorder="1"/>
    <xf numFmtId="37" fontId="58" fillId="22" borderId="114" xfId="0" applyNumberFormat="1" applyFont="1" applyFill="1" applyBorder="1" applyProtection="1">
      <protection locked="0"/>
    </xf>
    <xf numFmtId="171" fontId="59" fillId="23" borderId="117" xfId="0" applyNumberFormat="1" applyFont="1" applyFill="1" applyBorder="1"/>
    <xf numFmtId="0" fontId="59" fillId="23" borderId="138" xfId="0" applyFont="1" applyFill="1" applyBorder="1"/>
    <xf numFmtId="37" fontId="59" fillId="23" borderId="138" xfId="0" applyNumberFormat="1" applyFont="1" applyFill="1" applyBorder="1"/>
    <xf numFmtId="172" fontId="59" fillId="23" borderId="139" xfId="0" applyNumberFormat="1" applyFont="1" applyFill="1" applyBorder="1"/>
    <xf numFmtId="37" fontId="59" fillId="23" borderId="140" xfId="0" applyNumberFormat="1" applyFont="1" applyFill="1" applyBorder="1"/>
    <xf numFmtId="37" fontId="59" fillId="24" borderId="108" xfId="0" applyNumberFormat="1" applyFont="1" applyFill="1" applyBorder="1"/>
    <xf numFmtId="172" fontId="59" fillId="24" borderId="0" xfId="0" applyNumberFormat="1" applyFont="1" applyFill="1"/>
    <xf numFmtId="37" fontId="59" fillId="22" borderId="0" xfId="0" applyNumberFormat="1" applyFont="1" applyFill="1"/>
    <xf numFmtId="0" fontId="59" fillId="23" borderId="141" xfId="0" applyFont="1" applyFill="1" applyBorder="1"/>
    <xf numFmtId="0" fontId="58" fillId="23" borderId="141" xfId="0" applyFont="1" applyFill="1" applyBorder="1"/>
    <xf numFmtId="0" fontId="58" fillId="23" borderId="142" xfId="0" applyFont="1" applyFill="1" applyBorder="1"/>
    <xf numFmtId="37" fontId="59" fillId="23" borderId="143" xfId="0" applyNumberFormat="1" applyFont="1" applyFill="1" applyBorder="1"/>
    <xf numFmtId="0" fontId="74" fillId="22" borderId="1" xfId="0" applyFont="1" applyFill="1" applyBorder="1" applyAlignment="1">
      <alignment horizontal="center" vertical="center"/>
    </xf>
    <xf numFmtId="0" fontId="69" fillId="22" borderId="120" xfId="0" applyFont="1" applyFill="1" applyBorder="1" applyAlignment="1">
      <alignment horizontal="center"/>
    </xf>
    <xf numFmtId="0" fontId="59" fillId="22" borderId="144" xfId="0" applyFont="1" applyFill="1" applyBorder="1" applyAlignment="1">
      <alignment horizontal="center"/>
    </xf>
    <xf numFmtId="0" fontId="58" fillId="22" borderId="145" xfId="0" applyFont="1" applyFill="1" applyBorder="1"/>
    <xf numFmtId="0" fontId="58" fillId="22" borderId="145" xfId="0" applyFont="1" applyFill="1" applyBorder="1" applyAlignment="1">
      <alignment horizontal="center"/>
    </xf>
    <xf numFmtId="0" fontId="58" fillId="22" borderId="103" xfId="0" applyFont="1" applyFill="1" applyBorder="1" applyAlignment="1">
      <alignment horizontal="center"/>
    </xf>
    <xf numFmtId="0" fontId="58" fillId="22" borderId="146" xfId="0" applyFont="1" applyFill="1" applyBorder="1" applyAlignment="1">
      <alignment horizontal="center"/>
    </xf>
    <xf numFmtId="0" fontId="62" fillId="22" borderId="145" xfId="0" applyFont="1" applyFill="1" applyBorder="1"/>
    <xf numFmtId="37" fontId="62" fillId="22" borderId="145" xfId="0" applyNumberFormat="1" applyFont="1" applyFill="1" applyBorder="1"/>
    <xf numFmtId="37" fontId="62" fillId="22" borderId="103" xfId="0" applyNumberFormat="1" applyFont="1" applyFill="1" applyBorder="1"/>
    <xf numFmtId="37" fontId="62" fillId="22" borderId="146" xfId="0" applyNumberFormat="1" applyFont="1" applyFill="1" applyBorder="1"/>
    <xf numFmtId="0" fontId="74" fillId="23" borderId="145" xfId="0" applyFont="1" applyFill="1" applyBorder="1"/>
    <xf numFmtId="37" fontId="74" fillId="23" borderId="145" xfId="0" applyNumberFormat="1" applyFont="1" applyFill="1" applyBorder="1"/>
    <xf numFmtId="37" fontId="74" fillId="23" borderId="103" xfId="0" applyNumberFormat="1" applyFont="1" applyFill="1" applyBorder="1"/>
    <xf numFmtId="37" fontId="74" fillId="23" borderId="146" xfId="0" applyNumberFormat="1" applyFont="1" applyFill="1" applyBorder="1"/>
    <xf numFmtId="0" fontId="74" fillId="22" borderId="70" xfId="0" applyFont="1" applyFill="1" applyBorder="1"/>
    <xf numFmtId="37" fontId="62" fillId="22" borderId="70" xfId="0" applyNumberFormat="1" applyFont="1" applyFill="1" applyBorder="1"/>
    <xf numFmtId="37" fontId="62" fillId="22" borderId="55" xfId="0" applyNumberFormat="1" applyFont="1" applyFill="1" applyBorder="1"/>
    <xf numFmtId="0" fontId="62" fillId="22" borderId="70" xfId="0" applyFont="1" applyFill="1" applyBorder="1"/>
    <xf numFmtId="171" fontId="62" fillId="22" borderId="70" xfId="1" applyNumberFormat="1" applyFont="1" applyFill="1" applyBorder="1"/>
    <xf numFmtId="172" fontId="62" fillId="22" borderId="1" xfId="0" applyNumberFormat="1" applyFont="1" applyFill="1" applyBorder="1"/>
    <xf numFmtId="171" fontId="62" fillId="22" borderId="145" xfId="1" applyNumberFormat="1" applyFont="1" applyFill="1" applyBorder="1"/>
    <xf numFmtId="172" fontId="62" fillId="22" borderId="103" xfId="0" applyNumberFormat="1" applyFont="1" applyFill="1" applyBorder="1"/>
    <xf numFmtId="0" fontId="58" fillId="22" borderId="70" xfId="0" applyFont="1" applyFill="1" applyBorder="1"/>
    <xf numFmtId="0" fontId="74" fillId="23" borderId="147" xfId="0" applyFont="1" applyFill="1" applyBorder="1"/>
    <xf numFmtId="171" fontId="74" fillId="23" borderId="147" xfId="0" applyNumberFormat="1" applyFont="1" applyFill="1" applyBorder="1"/>
    <xf numFmtId="0" fontId="74" fillId="23" borderId="123" xfId="0" applyFont="1" applyFill="1" applyBorder="1"/>
    <xf numFmtId="37" fontId="74" fillId="23" borderId="148" xfId="0" applyNumberFormat="1" applyFont="1" applyFill="1" applyBorder="1"/>
    <xf numFmtId="37" fontId="62" fillId="22" borderId="55" xfId="0" applyNumberFormat="1" applyFont="1" applyFill="1" applyBorder="1" applyProtection="1">
      <protection locked="0"/>
    </xf>
    <xf numFmtId="0" fontId="62" fillId="24" borderId="70" xfId="0" applyFont="1" applyFill="1" applyBorder="1"/>
    <xf numFmtId="172" fontId="74" fillId="23" borderId="123" xfId="0" applyNumberFormat="1" applyFont="1" applyFill="1" applyBorder="1"/>
    <xf numFmtId="0" fontId="62" fillId="22" borderId="149" xfId="0" applyFont="1" applyFill="1" applyBorder="1"/>
    <xf numFmtId="172" fontId="62" fillId="22" borderId="112" xfId="0" applyNumberFormat="1" applyFont="1" applyFill="1" applyBorder="1"/>
    <xf numFmtId="37" fontId="62" fillId="22" borderId="150" xfId="0" applyNumberFormat="1" applyFont="1" applyFill="1" applyBorder="1"/>
    <xf numFmtId="37" fontId="62" fillId="22" borderId="146" xfId="0" applyNumberFormat="1" applyFont="1" applyFill="1" applyBorder="1" applyProtection="1">
      <protection locked="0"/>
    </xf>
    <xf numFmtId="171" fontId="74" fillId="22" borderId="149" xfId="0" applyNumberFormat="1" applyFont="1" applyFill="1" applyBorder="1"/>
    <xf numFmtId="0" fontId="74" fillId="22" borderId="112" xfId="0" applyFont="1" applyFill="1" applyBorder="1"/>
    <xf numFmtId="37" fontId="62" fillId="24" borderId="150" xfId="0" applyNumberFormat="1" applyFont="1" applyFill="1" applyBorder="1"/>
    <xf numFmtId="171" fontId="74" fillId="22" borderId="70" xfId="0" applyNumberFormat="1" applyFont="1" applyFill="1" applyBorder="1"/>
    <xf numFmtId="171" fontId="74" fillId="22" borderId="145" xfId="0" applyNumberFormat="1" applyFont="1" applyFill="1" applyBorder="1"/>
    <xf numFmtId="0" fontId="62" fillId="23" borderId="123" xfId="0" applyFont="1" applyFill="1" applyBorder="1"/>
    <xf numFmtId="0" fontId="74" fillId="24" borderId="149" xfId="0" applyFont="1" applyFill="1" applyBorder="1"/>
    <xf numFmtId="0" fontId="74" fillId="23" borderId="151" xfId="0" applyFont="1" applyFill="1" applyBorder="1"/>
    <xf numFmtId="0" fontId="74" fillId="23" borderId="151" xfId="0" applyFont="1" applyFill="1" applyBorder="1" applyAlignment="1">
      <alignment horizontal="center"/>
    </xf>
    <xf numFmtId="171" fontId="74" fillId="23" borderId="152" xfId="0" applyNumberFormat="1" applyFont="1" applyFill="1" applyBorder="1"/>
    <xf numFmtId="37" fontId="74" fillId="23" borderId="153" xfId="0" applyNumberFormat="1" applyFont="1" applyFill="1" applyBorder="1"/>
    <xf numFmtId="0" fontId="74" fillId="23" borderId="154" xfId="0" applyFont="1" applyFill="1" applyBorder="1" applyAlignment="1">
      <alignment horizontal="center"/>
    </xf>
    <xf numFmtId="171" fontId="74" fillId="23" borderId="142" xfId="0" applyNumberFormat="1" applyFont="1" applyFill="1" applyBorder="1"/>
    <xf numFmtId="37" fontId="74" fillId="23" borderId="155" xfId="0" applyNumberFormat="1" applyFont="1" applyFill="1" applyBorder="1"/>
    <xf numFmtId="39" fontId="62" fillId="22" borderId="0" xfId="0" applyNumberFormat="1" applyFont="1" applyFill="1"/>
    <xf numFmtId="0" fontId="74" fillId="23" borderId="156" xfId="0" applyFont="1" applyFill="1" applyBorder="1"/>
    <xf numFmtId="0" fontId="74" fillId="23" borderId="158" xfId="0" applyFont="1" applyFill="1" applyBorder="1" applyAlignment="1">
      <alignment horizontal="center"/>
    </xf>
    <xf numFmtId="171" fontId="74" fillId="23" borderId="157" xfId="0" applyNumberFormat="1" applyFont="1" applyFill="1" applyBorder="1"/>
    <xf numFmtId="37" fontId="74" fillId="23" borderId="159" xfId="0" applyNumberFormat="1" applyFont="1" applyFill="1" applyBorder="1"/>
    <xf numFmtId="0" fontId="73" fillId="22" borderId="160" xfId="0" applyFont="1" applyFill="1" applyBorder="1"/>
    <xf numFmtId="0" fontId="73" fillId="22" borderId="70" xfId="0" applyFont="1" applyFill="1" applyBorder="1"/>
    <xf numFmtId="0" fontId="73" fillId="22" borderId="55" xfId="0" applyFont="1" applyFill="1" applyBorder="1"/>
    <xf numFmtId="0" fontId="62" fillId="22" borderId="160" xfId="0" applyFont="1" applyFill="1" applyBorder="1"/>
    <xf numFmtId="0" fontId="69" fillId="22" borderId="70" xfId="0" applyFont="1" applyFill="1" applyBorder="1"/>
    <xf numFmtId="0" fontId="58" fillId="22" borderId="1" xfId="0" applyFont="1" applyFill="1" applyBorder="1"/>
    <xf numFmtId="0" fontId="59" fillId="22" borderId="70" xfId="0" applyFont="1" applyFill="1" applyBorder="1"/>
    <xf numFmtId="0" fontId="58" fillId="22" borderId="160" xfId="0" applyFont="1" applyFill="1" applyBorder="1"/>
    <xf numFmtId="0" fontId="58" fillId="22" borderId="162" xfId="0" applyFont="1" applyFill="1" applyBorder="1"/>
    <xf numFmtId="0" fontId="74" fillId="23" borderId="163" xfId="0" applyFont="1" applyFill="1" applyBorder="1"/>
    <xf numFmtId="0" fontId="74" fillId="23" borderId="165" xfId="0" applyFont="1" applyFill="1" applyBorder="1" applyAlignment="1">
      <alignment horizontal="center"/>
    </xf>
    <xf numFmtId="171" fontId="74" fillId="23" borderId="164" xfId="0" applyNumberFormat="1" applyFont="1" applyFill="1" applyBorder="1"/>
    <xf numFmtId="37" fontId="74" fillId="23" borderId="166" xfId="0" applyNumberFormat="1" applyFont="1" applyFill="1" applyBorder="1"/>
    <xf numFmtId="169" fontId="74" fillId="23" borderId="123" xfId="5" applyNumberFormat="1" applyFont="1" applyFill="1" applyBorder="1"/>
    <xf numFmtId="0" fontId="74" fillId="23" borderId="157" xfId="0" applyFont="1" applyFill="1" applyBorder="1" applyAlignment="1">
      <alignment horizontal="center"/>
    </xf>
    <xf numFmtId="37" fontId="74" fillId="23" borderId="157" xfId="0" applyNumberFormat="1" applyFont="1" applyFill="1" applyBorder="1"/>
    <xf numFmtId="0" fontId="74" fillId="23" borderId="164" xfId="0" applyFont="1" applyFill="1" applyBorder="1" applyAlignment="1">
      <alignment horizontal="center"/>
    </xf>
    <xf numFmtId="37" fontId="74" fillId="23" borderId="164" xfId="0" applyNumberFormat="1" applyFont="1" applyFill="1" applyBorder="1"/>
    <xf numFmtId="49" fontId="19" fillId="13" borderId="1" xfId="6" applyNumberFormat="1" applyFill="1" applyAlignment="1">
      <alignment horizontal="left" vertical="center"/>
    </xf>
    <xf numFmtId="176" fontId="19" fillId="13" borderId="1" xfId="6" applyNumberFormat="1" applyFill="1" applyAlignment="1">
      <alignment horizontal="right" vertical="center"/>
    </xf>
    <xf numFmtId="0" fontId="19" fillId="13" borderId="1" xfId="6" applyFill="1"/>
    <xf numFmtId="49" fontId="55" fillId="10" borderId="47" xfId="0" applyNumberFormat="1" applyFont="1" applyFill="1" applyBorder="1" applyAlignment="1">
      <alignment horizontal="left" vertical="top"/>
    </xf>
    <xf numFmtId="49" fontId="55" fillId="10" borderId="44" xfId="0" applyNumberFormat="1" applyFont="1" applyFill="1" applyBorder="1" applyAlignment="1">
      <alignment horizontal="left" vertical="top"/>
    </xf>
    <xf numFmtId="1" fontId="55" fillId="14" borderId="47" xfId="0" applyNumberFormat="1" applyFont="1" applyFill="1" applyBorder="1" applyAlignment="1">
      <alignment horizontal="left" vertical="top"/>
    </xf>
    <xf numFmtId="49" fontId="55" fillId="10" borderId="1" xfId="0" applyNumberFormat="1" applyFont="1" applyFill="1" applyBorder="1" applyAlignment="1">
      <alignment horizontal="left" vertical="top"/>
    </xf>
    <xf numFmtId="0" fontId="55" fillId="10" borderId="45" xfId="0" applyFont="1" applyFill="1" applyBorder="1" applyAlignment="1">
      <alignment horizontal="left" vertical="top"/>
    </xf>
    <xf numFmtId="0" fontId="54" fillId="10" borderId="0" xfId="0" applyFont="1" applyFill="1" applyAlignment="1">
      <alignment horizontal="left" vertical="top"/>
    </xf>
    <xf numFmtId="0" fontId="52" fillId="25" borderId="0" xfId="0" applyFont="1" applyFill="1" applyAlignment="1">
      <alignment horizontal="left" vertical="top"/>
    </xf>
    <xf numFmtId="0" fontId="54" fillId="10" borderId="44" xfId="0" applyFont="1" applyFill="1" applyBorder="1" applyAlignment="1">
      <alignment horizontal="left" vertical="top"/>
    </xf>
    <xf numFmtId="0" fontId="54" fillId="10" borderId="1" xfId="0" applyFont="1" applyFill="1" applyBorder="1" applyAlignment="1">
      <alignment horizontal="left" vertical="top"/>
    </xf>
    <xf numFmtId="0" fontId="54" fillId="10" borderId="48" xfId="0" applyFont="1" applyFill="1" applyBorder="1" applyAlignment="1">
      <alignment horizontal="left" vertical="top"/>
    </xf>
    <xf numFmtId="0" fontId="54" fillId="10" borderId="46" xfId="0" applyFont="1" applyFill="1" applyBorder="1" applyAlignment="1">
      <alignment horizontal="left" vertical="top"/>
    </xf>
    <xf numFmtId="39" fontId="54" fillId="10" borderId="46" xfId="0" applyNumberFormat="1" applyFont="1" applyFill="1" applyBorder="1" applyAlignment="1">
      <alignment horizontal="left" vertical="top"/>
    </xf>
    <xf numFmtId="0" fontId="55" fillId="10" borderId="44" xfId="0" applyFont="1" applyFill="1" applyBorder="1" applyAlignment="1">
      <alignment horizontal="left" vertical="top"/>
    </xf>
    <xf numFmtId="0" fontId="56" fillId="10" borderId="47" xfId="0" applyFont="1" applyFill="1" applyBorder="1" applyAlignment="1">
      <alignment horizontal="left" vertical="top"/>
    </xf>
    <xf numFmtId="0" fontId="55" fillId="10" borderId="0" xfId="0" applyFont="1" applyFill="1" applyAlignment="1">
      <alignment horizontal="left" vertical="top"/>
    </xf>
    <xf numFmtId="0" fontId="22" fillId="0" borderId="0" xfId="0" applyFont="1" applyFill="1"/>
    <xf numFmtId="0" fontId="22" fillId="0" borderId="0" xfId="0" applyFont="1" applyFill="1" applyAlignment="1">
      <alignment horizontal="center"/>
    </xf>
    <xf numFmtId="167" fontId="23" fillId="0" borderId="1" xfId="0" applyNumberFormat="1" applyFont="1" applyFill="1" applyBorder="1" applyAlignment="1">
      <alignment horizontal="center"/>
    </xf>
    <xf numFmtId="0" fontId="0" fillId="0" borderId="0" xfId="0"/>
    <xf numFmtId="49" fontId="23" fillId="13" borderId="1" xfId="0" applyNumberFormat="1" applyFont="1" applyFill="1" applyBorder="1" applyAlignment="1">
      <alignment horizontal="left" vertical="center"/>
    </xf>
    <xf numFmtId="0" fontId="23" fillId="13" borderId="1" xfId="0" applyFont="1" applyFill="1" applyBorder="1" applyAlignment="1">
      <alignment horizontal="left" vertical="top"/>
    </xf>
    <xf numFmtId="0" fontId="23" fillId="13" borderId="1" xfId="0" applyFont="1" applyFill="1" applyBorder="1"/>
    <xf numFmtId="174" fontId="23" fillId="13" borderId="1" xfId="0" applyNumberFormat="1" applyFont="1" applyFill="1" applyBorder="1" applyAlignment="1">
      <alignment horizontal="right" vertical="center"/>
    </xf>
    <xf numFmtId="171" fontId="33" fillId="0" borderId="12" xfId="1" applyNumberFormat="1" applyFont="1" applyBorder="1"/>
    <xf numFmtId="171" fontId="33" fillId="0" borderId="13" xfId="1" applyNumberFormat="1" applyFont="1" applyBorder="1"/>
    <xf numFmtId="3" fontId="32" fillId="0" borderId="0" xfId="0" applyNumberFormat="1" applyFont="1" applyFill="1"/>
    <xf numFmtId="3" fontId="33" fillId="0" borderId="0" xfId="0" applyNumberFormat="1" applyFont="1" applyFill="1"/>
    <xf numFmtId="169" fontId="33" fillId="0" borderId="15" xfId="5" applyNumberFormat="1" applyFont="1" applyBorder="1"/>
    <xf numFmtId="164" fontId="33" fillId="0" borderId="0" xfId="0" applyNumberFormat="1" applyFont="1" applyFill="1"/>
    <xf numFmtId="10" fontId="0" fillId="0" borderId="0" xfId="0" applyNumberFormat="1"/>
    <xf numFmtId="0" fontId="89" fillId="0" borderId="0" xfId="0" applyFont="1"/>
    <xf numFmtId="10" fontId="89" fillId="0" borderId="0" xfId="0" applyNumberFormat="1" applyFont="1"/>
    <xf numFmtId="3" fontId="58" fillId="0" borderId="15" xfId="0" applyNumberFormat="1" applyFont="1" applyFill="1" applyBorder="1"/>
    <xf numFmtId="171" fontId="34" fillId="0" borderId="1" xfId="0" applyNumberFormat="1" applyFont="1" applyFill="1" applyBorder="1"/>
    <xf numFmtId="0" fontId="34" fillId="0" borderId="88" xfId="0" applyFont="1" applyBorder="1" applyAlignment="1">
      <alignment horizontal="center" vertical="center"/>
    </xf>
    <xf numFmtId="0" fontId="85" fillId="27" borderId="170" xfId="3" applyFont="1" applyFill="1" applyBorder="1" applyAlignment="1">
      <alignment horizontal="center"/>
    </xf>
    <xf numFmtId="0" fontId="85" fillId="27" borderId="177" xfId="3" applyFont="1" applyFill="1" applyBorder="1" applyAlignment="1">
      <alignment horizontal="center"/>
    </xf>
    <xf numFmtId="0" fontId="85" fillId="27" borderId="127" xfId="3" applyFont="1" applyFill="1" applyBorder="1" applyAlignment="1">
      <alignment horizontal="center"/>
    </xf>
    <xf numFmtId="0" fontId="85" fillId="27" borderId="178" xfId="3" applyFont="1" applyFill="1" applyBorder="1" applyAlignment="1">
      <alignment horizontal="center"/>
    </xf>
    <xf numFmtId="0" fontId="85" fillId="27" borderId="171" xfId="3" applyFont="1" applyFill="1" applyBorder="1" applyAlignment="1">
      <alignment horizontal="center"/>
    </xf>
    <xf numFmtId="0" fontId="20" fillId="0" borderId="172" xfId="3" applyBorder="1" applyAlignment="1">
      <alignment horizontal="left"/>
    </xf>
    <xf numFmtId="167" fontId="20" fillId="0" borderId="200" xfId="3" applyNumberFormat="1" applyBorder="1" applyAlignment="1">
      <alignment horizontal="center"/>
    </xf>
    <xf numFmtId="167" fontId="20" fillId="0" borderId="184" xfId="3" applyNumberFormat="1" applyBorder="1" applyAlignment="1">
      <alignment horizontal="center"/>
    </xf>
    <xf numFmtId="167" fontId="20" fillId="0" borderId="201" xfId="3" applyNumberFormat="1" applyBorder="1" applyAlignment="1">
      <alignment horizontal="center"/>
    </xf>
    <xf numFmtId="2" fontId="20" fillId="0" borderId="161" xfId="3" applyNumberFormat="1" applyBorder="1" applyAlignment="1">
      <alignment horizontal="center"/>
    </xf>
    <xf numFmtId="2" fontId="20" fillId="0" borderId="181" xfId="3" applyNumberFormat="1" applyBorder="1" applyAlignment="1">
      <alignment horizontal="center"/>
    </xf>
    <xf numFmtId="2" fontId="20" fillId="0" borderId="173" xfId="3" applyNumberFormat="1" applyBorder="1" applyAlignment="1">
      <alignment horizontal="center"/>
    </xf>
    <xf numFmtId="167" fontId="20" fillId="0" borderId="161" xfId="3" applyNumberFormat="1" applyBorder="1" applyAlignment="1">
      <alignment horizontal="center"/>
    </xf>
    <xf numFmtId="167" fontId="20" fillId="0" borderId="181" xfId="3" applyNumberFormat="1" applyBorder="1" applyAlignment="1">
      <alignment horizontal="center"/>
    </xf>
    <xf numFmtId="167" fontId="20" fillId="0" borderId="173" xfId="3" applyNumberFormat="1" applyBorder="1" applyAlignment="1">
      <alignment horizontal="center"/>
    </xf>
    <xf numFmtId="0" fontId="20" fillId="0" borderId="174" xfId="3" applyBorder="1" applyAlignment="1">
      <alignment horizontal="left"/>
    </xf>
    <xf numFmtId="2" fontId="20" fillId="0" borderId="175" xfId="3" applyNumberFormat="1" applyBorder="1" applyAlignment="1">
      <alignment horizontal="center"/>
    </xf>
    <xf numFmtId="2" fontId="20" fillId="0" borderId="187" xfId="3" applyNumberFormat="1" applyBorder="1" applyAlignment="1">
      <alignment horizontal="center"/>
    </xf>
    <xf numFmtId="2" fontId="20" fillId="0" borderId="176" xfId="3" applyNumberFormat="1" applyBorder="1" applyAlignment="1">
      <alignment horizontal="center"/>
    </xf>
    <xf numFmtId="0" fontId="85" fillId="0" borderId="1" xfId="3" applyFont="1"/>
    <xf numFmtId="0" fontId="23" fillId="10" borderId="0" xfId="0" applyFont="1" applyFill="1" applyAlignment="1">
      <alignment horizontal="center"/>
    </xf>
    <xf numFmtId="0" fontId="23" fillId="10" borderId="0" xfId="0" applyFont="1" applyFill="1"/>
    <xf numFmtId="0" fontId="23" fillId="10" borderId="0" xfId="0" applyNumberFormat="1" applyFont="1" applyFill="1" applyAlignment="1">
      <alignment horizontal="center"/>
    </xf>
    <xf numFmtId="0" fontId="57" fillId="10" borderId="0" xfId="0" applyFont="1" applyFill="1" applyAlignment="1">
      <alignment horizontal="center"/>
    </xf>
    <xf numFmtId="0" fontId="57" fillId="25" borderId="0" xfId="0" applyFont="1" applyFill="1" applyAlignment="1">
      <alignment horizontal="center"/>
    </xf>
    <xf numFmtId="0" fontId="17" fillId="13" borderId="1" xfId="8" applyFill="1"/>
    <xf numFmtId="176" fontId="17" fillId="13" borderId="1" xfId="8" applyNumberFormat="1" applyFill="1" applyAlignment="1">
      <alignment horizontal="right" vertical="center"/>
    </xf>
    <xf numFmtId="49" fontId="23" fillId="5" borderId="47" xfId="0" applyNumberFormat="1" applyFont="1" applyFill="1" applyBorder="1" applyAlignment="1">
      <alignment horizontal="left" vertical="center"/>
    </xf>
    <xf numFmtId="1" fontId="55" fillId="10" borderId="1" xfId="0" applyNumberFormat="1" applyFont="1" applyFill="1" applyBorder="1" applyAlignment="1">
      <alignment horizontal="left" vertical="top"/>
    </xf>
    <xf numFmtId="49" fontId="54" fillId="10" borderId="1" xfId="0" applyNumberFormat="1" applyFont="1" applyFill="1" applyBorder="1" applyAlignment="1">
      <alignment horizontal="left" vertical="top"/>
    </xf>
    <xf numFmtId="0" fontId="54" fillId="10" borderId="202" xfId="0" applyFont="1" applyFill="1" applyBorder="1" applyAlignment="1">
      <alignment horizontal="left" vertical="top"/>
    </xf>
    <xf numFmtId="0" fontId="54" fillId="10" borderId="43" xfId="0" applyFont="1" applyFill="1" applyBorder="1" applyAlignment="1">
      <alignment horizontal="left" vertical="top"/>
    </xf>
    <xf numFmtId="1" fontId="55" fillId="10" borderId="202" xfId="0" applyNumberFormat="1" applyFont="1" applyFill="1" applyBorder="1" applyAlignment="1">
      <alignment horizontal="left" vertical="top"/>
    </xf>
    <xf numFmtId="49" fontId="54" fillId="10" borderId="203" xfId="0" applyNumberFormat="1" applyFont="1" applyFill="1" applyBorder="1" applyAlignment="1">
      <alignment horizontal="left" vertical="top"/>
    </xf>
    <xf numFmtId="0" fontId="54" fillId="10" borderId="203" xfId="0" applyFont="1" applyFill="1" applyBorder="1" applyAlignment="1">
      <alignment horizontal="left" vertical="top"/>
    </xf>
    <xf numFmtId="49" fontId="54" fillId="10" borderId="202" xfId="0" applyNumberFormat="1" applyFont="1" applyFill="1" applyBorder="1" applyAlignment="1">
      <alignment horizontal="left" vertical="top"/>
    </xf>
    <xf numFmtId="49" fontId="54" fillId="10" borderId="204" xfId="0" applyNumberFormat="1" applyFont="1" applyFill="1" applyBorder="1" applyAlignment="1">
      <alignment horizontal="left" vertical="top"/>
    </xf>
    <xf numFmtId="0" fontId="55" fillId="10" borderId="202" xfId="0" applyFont="1" applyFill="1" applyBorder="1" applyAlignment="1">
      <alignment horizontal="left" vertical="top"/>
    </xf>
    <xf numFmtId="39" fontId="54" fillId="10" borderId="204" xfId="0" applyNumberFormat="1" applyFont="1" applyFill="1" applyBorder="1" applyAlignment="1">
      <alignment horizontal="left" vertical="top"/>
    </xf>
    <xf numFmtId="39" fontId="54" fillId="10" borderId="202" xfId="0" applyNumberFormat="1" applyFont="1" applyFill="1" applyBorder="1" applyAlignment="1">
      <alignment horizontal="left" vertical="top"/>
    </xf>
    <xf numFmtId="0" fontId="54" fillId="10" borderId="204" xfId="0" applyFont="1" applyFill="1" applyBorder="1" applyAlignment="1">
      <alignment horizontal="left" vertical="top"/>
    </xf>
    <xf numFmtId="0" fontId="56" fillId="8" borderId="47" xfId="0" applyFont="1" applyFill="1" applyBorder="1" applyAlignment="1">
      <alignment horizontal="left" vertical="top"/>
    </xf>
    <xf numFmtId="37" fontId="90" fillId="0" borderId="0" xfId="0" applyNumberFormat="1" applyFont="1"/>
    <xf numFmtId="37" fontId="36" fillId="0" borderId="32" xfId="0" applyNumberFormat="1" applyFont="1" applyFill="1" applyBorder="1"/>
    <xf numFmtId="0" fontId="59" fillId="22" borderId="104" xfId="0" applyFont="1" applyFill="1" applyBorder="1"/>
    <xf numFmtId="0" fontId="59" fillId="22" borderId="105" xfId="0" applyFont="1" applyFill="1" applyBorder="1"/>
    <xf numFmtId="0" fontId="59" fillId="22" borderId="106" xfId="0" applyFont="1" applyFill="1" applyBorder="1"/>
    <xf numFmtId="3" fontId="33" fillId="0" borderId="12" xfId="0" applyNumberFormat="1" applyFont="1" applyFill="1" applyBorder="1"/>
    <xf numFmtId="167" fontId="16" fillId="0" borderId="180" xfId="3" applyNumberFormat="1" applyFont="1" applyBorder="1" applyAlignment="1">
      <alignment horizontal="center"/>
    </xf>
    <xf numFmtId="167" fontId="16" fillId="0" borderId="161" xfId="3" applyNumberFormat="1" applyFont="1" applyBorder="1" applyAlignment="1">
      <alignment horizontal="center"/>
    </xf>
    <xf numFmtId="167" fontId="16" fillId="0" borderId="181" xfId="3" applyNumberFormat="1" applyFont="1" applyBorder="1" applyAlignment="1">
      <alignment horizontal="center"/>
    </xf>
    <xf numFmtId="167" fontId="16" fillId="0" borderId="173" xfId="3" applyNumberFormat="1" applyFont="1" applyBorder="1" applyAlignment="1">
      <alignment horizontal="center"/>
    </xf>
    <xf numFmtId="9" fontId="16" fillId="0" borderId="180" xfId="4" applyFont="1" applyBorder="1" applyAlignment="1">
      <alignment horizontal="center"/>
    </xf>
    <xf numFmtId="9" fontId="16" fillId="0" borderId="181" xfId="4" applyFont="1" applyBorder="1" applyAlignment="1">
      <alignment horizontal="center"/>
    </xf>
    <xf numFmtId="9" fontId="16" fillId="0" borderId="182" xfId="4" applyFont="1" applyBorder="1" applyAlignment="1">
      <alignment horizontal="center"/>
    </xf>
    <xf numFmtId="9" fontId="16" fillId="0" borderId="180" xfId="4" applyFont="1" applyFill="1" applyBorder="1" applyAlignment="1">
      <alignment horizontal="center"/>
    </xf>
    <xf numFmtId="2" fontId="16" fillId="0" borderId="161" xfId="4" applyNumberFormat="1" applyFont="1" applyBorder="1" applyAlignment="1">
      <alignment horizontal="center"/>
    </xf>
    <xf numFmtId="2" fontId="16" fillId="0" borderId="181" xfId="4" applyNumberFormat="1" applyFont="1" applyBorder="1" applyAlignment="1">
      <alignment horizontal="center"/>
    </xf>
    <xf numFmtId="2" fontId="16" fillId="0" borderId="173" xfId="4" applyNumberFormat="1" applyFont="1" applyBorder="1" applyAlignment="1">
      <alignment horizontal="center"/>
    </xf>
    <xf numFmtId="9" fontId="16" fillId="0" borderId="161" xfId="4" applyFont="1" applyBorder="1" applyAlignment="1">
      <alignment horizontal="center"/>
    </xf>
    <xf numFmtId="9" fontId="16" fillId="0" borderId="173" xfId="4" applyFont="1" applyBorder="1" applyAlignment="1">
      <alignment horizontal="center"/>
    </xf>
    <xf numFmtId="0" fontId="16" fillId="0" borderId="190" xfId="3" applyFont="1" applyBorder="1"/>
    <xf numFmtId="167" fontId="16" fillId="0" borderId="193" xfId="3" applyNumberFormat="1" applyFont="1" applyBorder="1" applyAlignment="1">
      <alignment horizontal="center"/>
    </xf>
    <xf numFmtId="167" fontId="16" fillId="0" borderId="191" xfId="3" applyNumberFormat="1" applyFont="1" applyBorder="1" applyAlignment="1">
      <alignment horizontal="center"/>
    </xf>
    <xf numFmtId="167" fontId="16" fillId="0" borderId="194" xfId="3" applyNumberFormat="1" applyFont="1" applyBorder="1" applyAlignment="1">
      <alignment horizontal="center"/>
    </xf>
    <xf numFmtId="9" fontId="16" fillId="0" borderId="190" xfId="4" applyFont="1" applyBorder="1" applyAlignment="1">
      <alignment horizontal="center"/>
    </xf>
    <xf numFmtId="9" fontId="16" fillId="0" borderId="191" xfId="4" applyFont="1" applyBorder="1" applyAlignment="1">
      <alignment horizontal="center"/>
    </xf>
    <xf numFmtId="9" fontId="16" fillId="0" borderId="192" xfId="4" applyFont="1" applyBorder="1" applyAlignment="1">
      <alignment horizontal="center"/>
    </xf>
    <xf numFmtId="167" fontId="16" fillId="0" borderId="175" xfId="3" applyNumberFormat="1" applyFont="1" applyBorder="1" applyAlignment="1">
      <alignment horizontal="center"/>
    </xf>
    <xf numFmtId="167" fontId="16" fillId="0" borderId="187" xfId="3" applyNumberFormat="1" applyFont="1" applyBorder="1" applyAlignment="1">
      <alignment horizontal="center"/>
    </xf>
    <xf numFmtId="167" fontId="16" fillId="0" borderId="176" xfId="3" applyNumberFormat="1" applyFont="1" applyBorder="1" applyAlignment="1">
      <alignment horizontal="center"/>
    </xf>
    <xf numFmtId="9" fontId="16" fillId="0" borderId="186" xfId="4" applyFont="1" applyBorder="1" applyAlignment="1">
      <alignment horizontal="center"/>
    </xf>
    <xf numFmtId="9" fontId="16" fillId="0" borderId="187" xfId="4" applyFont="1" applyBorder="1" applyAlignment="1">
      <alignment horizontal="center"/>
    </xf>
    <xf numFmtId="9" fontId="16" fillId="0" borderId="188" xfId="4" applyFont="1" applyBorder="1" applyAlignment="1">
      <alignment horizontal="center"/>
    </xf>
    <xf numFmtId="0" fontId="16" fillId="0" borderId="1" xfId="3" applyFont="1"/>
    <xf numFmtId="167" fontId="16" fillId="0" borderId="180" xfId="4" applyNumberFormat="1" applyFont="1" applyFill="1" applyBorder="1" applyAlignment="1">
      <alignment horizontal="center"/>
    </xf>
    <xf numFmtId="9" fontId="16" fillId="0" borderId="180" xfId="1" applyFont="1" applyBorder="1" applyAlignment="1">
      <alignment horizontal="center"/>
    </xf>
    <xf numFmtId="2" fontId="16" fillId="0" borderId="161" xfId="3" applyNumberFormat="1" applyFont="1" applyBorder="1" applyAlignment="1">
      <alignment horizontal="center"/>
    </xf>
    <xf numFmtId="2" fontId="16" fillId="0" borderId="181" xfId="3" applyNumberFormat="1" applyFont="1" applyBorder="1" applyAlignment="1">
      <alignment horizontal="center"/>
    </xf>
    <xf numFmtId="2" fontId="16" fillId="0" borderId="173" xfId="3" applyNumberFormat="1" applyFont="1" applyBorder="1" applyAlignment="1">
      <alignment horizontal="center"/>
    </xf>
    <xf numFmtId="167" fontId="16" fillId="0" borderId="186" xfId="3" applyNumberFormat="1" applyFont="1" applyBorder="1" applyAlignment="1">
      <alignment horizontal="center"/>
    </xf>
    <xf numFmtId="0" fontId="16" fillId="0" borderId="172" xfId="3" applyFont="1" applyBorder="1" applyAlignment="1">
      <alignment horizontal="left" indent="1"/>
    </xf>
    <xf numFmtId="0" fontId="16" fillId="0" borderId="172" xfId="3" applyFont="1" applyBorder="1" applyAlignment="1">
      <alignment horizontal="left"/>
    </xf>
    <xf numFmtId="1" fontId="16" fillId="0" borderId="161" xfId="3" applyNumberFormat="1" applyFont="1" applyBorder="1" applyAlignment="1">
      <alignment horizontal="center"/>
    </xf>
    <xf numFmtId="1" fontId="16" fillId="0" borderId="181" xfId="3" applyNumberFormat="1" applyFont="1" applyBorder="1" applyAlignment="1">
      <alignment horizontal="center"/>
    </xf>
    <xf numFmtId="1" fontId="16" fillId="0" borderId="173" xfId="3" applyNumberFormat="1" applyFont="1" applyBorder="1" applyAlignment="1">
      <alignment horizontal="center"/>
    </xf>
    <xf numFmtId="0" fontId="16" fillId="0" borderId="174" xfId="3" applyFont="1" applyBorder="1" applyAlignment="1">
      <alignment horizontal="left"/>
    </xf>
    <xf numFmtId="167" fontId="16" fillId="0" borderId="180" xfId="1" applyNumberFormat="1" applyFont="1" applyBorder="1" applyAlignment="1">
      <alignment horizontal="center"/>
    </xf>
    <xf numFmtId="171" fontId="16" fillId="0" borderId="180" xfId="1" applyNumberFormat="1" applyFont="1" applyBorder="1" applyAlignment="1">
      <alignment horizontal="center"/>
    </xf>
    <xf numFmtId="171" fontId="16" fillId="0" borderId="186" xfId="1" applyNumberFormat="1" applyFont="1" applyBorder="1" applyAlignment="1">
      <alignment horizontal="center"/>
    </xf>
    <xf numFmtId="3" fontId="32" fillId="0" borderId="0" xfId="0" applyNumberFormat="1" applyFont="1"/>
    <xf numFmtId="166" fontId="32" fillId="0" borderId="0" xfId="5" applyFont="1" applyFill="1"/>
    <xf numFmtId="0" fontId="22" fillId="29" borderId="208" xfId="0" applyFont="1" applyFill="1" applyBorder="1" applyAlignment="1">
      <alignment horizontal="center"/>
    </xf>
    <xf numFmtId="0" fontId="22" fillId="30" borderId="208" xfId="0" applyFont="1" applyFill="1" applyBorder="1" applyAlignment="1">
      <alignment horizontal="center"/>
    </xf>
    <xf numFmtId="0" fontId="22" fillId="31" borderId="208" xfId="0" applyFont="1" applyFill="1" applyBorder="1" applyAlignment="1">
      <alignment horizontal="center"/>
    </xf>
    <xf numFmtId="0" fontId="22" fillId="33" borderId="208" xfId="0" applyFont="1" applyFill="1" applyBorder="1" applyAlignment="1">
      <alignment horizontal="center"/>
    </xf>
    <xf numFmtId="39" fontId="34" fillId="0" borderId="0" xfId="0" applyNumberFormat="1" applyFont="1"/>
    <xf numFmtId="171" fontId="34" fillId="0" borderId="9" xfId="0" applyNumberFormat="1" applyFont="1" applyBorder="1"/>
    <xf numFmtId="0" fontId="58" fillId="0" borderId="1" xfId="0" applyFont="1" applyBorder="1"/>
    <xf numFmtId="37" fontId="34" fillId="0" borderId="1" xfId="0" applyNumberFormat="1" applyFont="1" applyBorder="1"/>
    <xf numFmtId="0" fontId="57" fillId="0" borderId="0" xfId="0" applyFont="1"/>
    <xf numFmtId="3" fontId="31" fillId="0" borderId="0" xfId="0" applyNumberFormat="1" applyFont="1"/>
    <xf numFmtId="166" fontId="31" fillId="0" borderId="0" xfId="5" applyFont="1"/>
    <xf numFmtId="2" fontId="0" fillId="0" borderId="0" xfId="0" applyNumberFormat="1"/>
    <xf numFmtId="3" fontId="0" fillId="0" borderId="0" xfId="0" applyNumberFormat="1"/>
    <xf numFmtId="4" fontId="31" fillId="0" borderId="0" xfId="0" applyNumberFormat="1" applyFont="1"/>
    <xf numFmtId="171" fontId="31" fillId="0" borderId="0" xfId="1" applyNumberFormat="1" applyFont="1"/>
    <xf numFmtId="166" fontId="41" fillId="0" borderId="0" xfId="5" applyFont="1"/>
    <xf numFmtId="171" fontId="41" fillId="0" borderId="0" xfId="1" applyNumberFormat="1" applyFont="1"/>
    <xf numFmtId="166" fontId="0" fillId="0" borderId="0" xfId="0" applyNumberFormat="1"/>
    <xf numFmtId="171" fontId="0" fillId="0" borderId="0" xfId="1" applyNumberFormat="1" applyFont="1" applyAlignment="1"/>
    <xf numFmtId="166" fontId="0" fillId="0" borderId="0" xfId="5" applyFont="1" applyAlignment="1"/>
    <xf numFmtId="4" fontId="41" fillId="0" borderId="0" xfId="0" applyNumberFormat="1" applyFont="1"/>
    <xf numFmtId="4" fontId="0" fillId="0" borderId="0" xfId="0" applyNumberFormat="1"/>
    <xf numFmtId="9" fontId="31" fillId="0" borderId="0" xfId="1" applyFont="1"/>
    <xf numFmtId="169" fontId="36" fillId="0" borderId="35" xfId="5" applyNumberFormat="1" applyFont="1" applyFill="1" applyBorder="1"/>
    <xf numFmtId="177" fontId="33" fillId="0" borderId="1" xfId="0" applyNumberFormat="1" applyFont="1" applyBorder="1"/>
    <xf numFmtId="177" fontId="33" fillId="0" borderId="0" xfId="0" applyNumberFormat="1" applyFont="1" applyFill="1"/>
    <xf numFmtId="9" fontId="33" fillId="0" borderId="0" xfId="1" applyNumberFormat="1" applyFont="1" applyFill="1"/>
    <xf numFmtId="167" fontId="23" fillId="0" borderId="0" xfId="0" applyNumberFormat="1" applyFont="1" applyFill="1" applyAlignment="1">
      <alignment horizontal="center" vertical="top"/>
    </xf>
    <xf numFmtId="167" fontId="51" fillId="0" borderId="0" xfId="0" applyNumberFormat="1" applyFont="1" applyFill="1" applyAlignment="1">
      <alignment horizontal="center" vertical="top"/>
    </xf>
    <xf numFmtId="4" fontId="23" fillId="0" borderId="0" xfId="0" applyNumberFormat="1" applyFont="1" applyFill="1" applyAlignment="1">
      <alignment horizontal="center" vertical="top"/>
    </xf>
    <xf numFmtId="167" fontId="65" fillId="0" borderId="0" xfId="0" applyNumberFormat="1" applyFont="1" applyFill="1" applyAlignment="1">
      <alignment horizontal="center" vertical="top"/>
    </xf>
    <xf numFmtId="167" fontId="0" fillId="0" borderId="0" xfId="0" applyNumberFormat="1" applyFont="1" applyFill="1" applyAlignment="1"/>
    <xf numFmtId="37" fontId="36" fillId="0" borderId="24" xfId="0" applyNumberFormat="1" applyFont="1" applyFill="1" applyBorder="1"/>
    <xf numFmtId="171" fontId="33" fillId="0" borderId="13" xfId="1" applyNumberFormat="1" applyFont="1" applyFill="1" applyBorder="1"/>
    <xf numFmtId="4" fontId="19" fillId="13" borderId="1" xfId="6" applyNumberFormat="1" applyFill="1"/>
    <xf numFmtId="167" fontId="16" fillId="0" borderId="1" xfId="3" applyNumberFormat="1" applyFont="1"/>
    <xf numFmtId="0" fontId="67" fillId="0" borderId="1" xfId="2" applyFont="1" applyAlignment="1">
      <alignment horizontal="center"/>
    </xf>
    <xf numFmtId="0" fontId="59" fillId="22" borderId="104" xfId="0" applyFont="1" applyFill="1" applyBorder="1" applyAlignment="1">
      <alignment horizontal="center"/>
    </xf>
    <xf numFmtId="171" fontId="33" fillId="0" borderId="1" xfId="1" applyNumberFormat="1" applyFont="1" applyBorder="1" applyAlignment="1">
      <alignment horizontal="right"/>
    </xf>
    <xf numFmtId="171" fontId="33" fillId="0" borderId="22" xfId="1" applyNumberFormat="1" applyFont="1" applyBorder="1" applyAlignment="1">
      <alignment horizontal="right"/>
    </xf>
    <xf numFmtId="166" fontId="32" fillId="0" borderId="0" xfId="0" applyNumberFormat="1" applyFont="1" applyFill="1"/>
    <xf numFmtId="0" fontId="57" fillId="0" borderId="1" xfId="11"/>
    <xf numFmtId="0" fontId="0" fillId="0" borderId="1" xfId="12" applyFont="1"/>
    <xf numFmtId="0" fontId="91" fillId="0" borderId="1" xfId="12" applyFont="1" applyAlignment="1">
      <alignment horizontal="center"/>
    </xf>
    <xf numFmtId="3" fontId="92" fillId="26" borderId="1" xfId="12" applyNumberFormat="1" applyFill="1" applyAlignment="1">
      <alignment horizontal="center" vertical="center"/>
    </xf>
    <xf numFmtId="3" fontId="0" fillId="26" borderId="1" xfId="12" applyNumberFormat="1" applyFont="1" applyFill="1" applyAlignment="1">
      <alignment horizontal="center"/>
    </xf>
    <xf numFmtId="0" fontId="55" fillId="10" borderId="47" xfId="0" applyNumberFormat="1" applyFont="1" applyFill="1" applyBorder="1" applyAlignment="1">
      <alignment horizontal="left" vertical="top"/>
    </xf>
    <xf numFmtId="39" fontId="44" fillId="0" borderId="0" xfId="0" applyNumberFormat="1" applyFont="1"/>
    <xf numFmtId="37" fontId="73" fillId="0" borderId="1" xfId="2" applyNumberFormat="1" applyFont="1"/>
    <xf numFmtId="0" fontId="11" fillId="0" borderId="1" xfId="3" applyFont="1"/>
    <xf numFmtId="165" fontId="20" fillId="0" borderId="1" xfId="13" applyFont="1" applyBorder="1"/>
    <xf numFmtId="165" fontId="11" fillId="0" borderId="1" xfId="13" applyFont="1" applyBorder="1"/>
    <xf numFmtId="0" fontId="54" fillId="10" borderId="47" xfId="0" applyNumberFormat="1" applyFont="1" applyFill="1" applyBorder="1" applyAlignment="1">
      <alignment horizontal="left" vertical="top"/>
    </xf>
    <xf numFmtId="0" fontId="23" fillId="5" borderId="47" xfId="0" applyNumberFormat="1" applyFont="1" applyFill="1" applyBorder="1" applyAlignment="1">
      <alignment horizontal="left" vertical="center"/>
    </xf>
    <xf numFmtId="0" fontId="55" fillId="10" borderId="47" xfId="0" quotePrefix="1" applyNumberFormat="1" applyFont="1" applyFill="1" applyBorder="1" applyAlignment="1">
      <alignment horizontal="left" vertical="top"/>
    </xf>
    <xf numFmtId="0" fontId="55" fillId="10" borderId="202" xfId="0" applyNumberFormat="1" applyFont="1" applyFill="1" applyBorder="1" applyAlignment="1">
      <alignment horizontal="left" vertical="top"/>
    </xf>
    <xf numFmtId="49" fontId="23" fillId="0" borderId="1" xfId="0" applyNumberFormat="1" applyFont="1" applyFill="1" applyBorder="1" applyAlignment="1">
      <alignment horizontal="left" vertical="center"/>
    </xf>
    <xf numFmtId="0" fontId="23" fillId="0" borderId="1" xfId="0" applyFont="1" applyFill="1" applyBorder="1" applyAlignment="1">
      <alignment horizontal="left" vertical="top"/>
    </xf>
    <xf numFmtId="174" fontId="23" fillId="0" borderId="1" xfId="0" applyNumberFormat="1" applyFont="1" applyFill="1" applyBorder="1" applyAlignment="1">
      <alignment horizontal="right" vertical="center"/>
    </xf>
    <xf numFmtId="176" fontId="19" fillId="0" borderId="1" xfId="6" applyNumberFormat="1" applyFill="1" applyAlignment="1">
      <alignment horizontal="right" vertical="center"/>
    </xf>
    <xf numFmtId="49" fontId="19" fillId="0" borderId="1" xfId="6" applyNumberFormat="1" applyFill="1" applyAlignment="1">
      <alignment horizontal="left" vertical="center"/>
    </xf>
    <xf numFmtId="0" fontId="19" fillId="0" borderId="1" xfId="6" applyNumberFormat="1" applyFill="1" applyAlignment="1">
      <alignment horizontal="left" vertical="center"/>
    </xf>
    <xf numFmtId="49" fontId="23" fillId="0" borderId="1" xfId="0" applyNumberFormat="1" applyFont="1" applyFill="1" applyBorder="1" applyAlignment="1">
      <alignment horizontal="left" vertical="top"/>
    </xf>
    <xf numFmtId="175" fontId="23" fillId="0" borderId="1" xfId="0" applyNumberFormat="1" applyFont="1" applyFill="1" applyBorder="1" applyAlignment="1">
      <alignment horizontal="right" vertical="top"/>
    </xf>
    <xf numFmtId="37" fontId="33" fillId="0" borderId="22" xfId="0" applyNumberFormat="1" applyFont="1" applyFill="1" applyBorder="1"/>
    <xf numFmtId="3" fontId="33" fillId="0" borderId="167" xfId="0" applyNumberFormat="1" applyFont="1" applyFill="1" applyBorder="1"/>
    <xf numFmtId="3" fontId="33" fillId="0" borderId="19" xfId="0" applyNumberFormat="1" applyFont="1" applyFill="1" applyBorder="1"/>
    <xf numFmtId="0" fontId="57" fillId="0" borderId="1" xfId="12" applyFont="1"/>
    <xf numFmtId="171" fontId="58" fillId="22" borderId="1" xfId="0" applyNumberFormat="1" applyFont="1" applyFill="1" applyBorder="1"/>
    <xf numFmtId="171" fontId="58" fillId="22" borderId="0" xfId="1" applyNumberFormat="1" applyFont="1" applyFill="1"/>
    <xf numFmtId="37" fontId="67" fillId="22" borderId="0" xfId="0" applyNumberFormat="1" applyFont="1" applyFill="1"/>
    <xf numFmtId="0" fontId="69" fillId="22" borderId="0" xfId="0" applyFont="1" applyFill="1" applyAlignment="1">
      <alignment horizontal="center"/>
    </xf>
    <xf numFmtId="37" fontId="69" fillId="22" borderId="120" xfId="0" applyNumberFormat="1" applyFont="1" applyFill="1" applyBorder="1" applyAlignment="1">
      <alignment horizontal="center"/>
    </xf>
    <xf numFmtId="0" fontId="62" fillId="22" borderId="0" xfId="0" applyFont="1" applyFill="1"/>
    <xf numFmtId="172" fontId="62" fillId="22" borderId="0" xfId="0" applyNumberFormat="1" applyFont="1" applyFill="1"/>
    <xf numFmtId="171" fontId="62" fillId="22" borderId="103" xfId="1" applyNumberFormat="1" applyFont="1" applyFill="1" applyBorder="1"/>
    <xf numFmtId="171" fontId="62" fillId="22" borderId="0" xfId="1" applyNumberFormat="1" applyFont="1" applyFill="1"/>
    <xf numFmtId="0" fontId="62" fillId="22" borderId="101" xfId="0" applyFont="1" applyFill="1" applyBorder="1"/>
    <xf numFmtId="172" fontId="62" fillId="22" borderId="53" xfId="0" applyNumberFormat="1" applyFont="1" applyFill="1" applyBorder="1"/>
    <xf numFmtId="37" fontId="62" fillId="22" borderId="63" xfId="0" applyNumberFormat="1" applyFont="1" applyFill="1" applyBorder="1"/>
    <xf numFmtId="0" fontId="62" fillId="22" borderId="195" xfId="0" applyFont="1" applyFill="1" applyBorder="1"/>
    <xf numFmtId="172" fontId="62" fillId="22" borderId="54" xfId="0" applyNumberFormat="1" applyFont="1" applyFill="1" applyBorder="1"/>
    <xf numFmtId="0" fontId="94" fillId="22" borderId="70" xfId="0" applyFont="1" applyFill="1" applyBorder="1"/>
    <xf numFmtId="0" fontId="94" fillId="22" borderId="0" xfId="0" applyFont="1" applyFill="1"/>
    <xf numFmtId="37" fontId="94" fillId="22" borderId="55" xfId="0" applyNumberFormat="1" applyFont="1" applyFill="1" applyBorder="1"/>
    <xf numFmtId="0" fontId="74" fillId="22" borderId="0" xfId="0" applyFont="1" applyFill="1"/>
    <xf numFmtId="0" fontId="95" fillId="24" borderId="149" xfId="0" applyFont="1" applyFill="1" applyBorder="1"/>
    <xf numFmtId="0" fontId="94" fillId="24" borderId="112" xfId="0" applyFont="1" applyFill="1" applyBorder="1"/>
    <xf numFmtId="37" fontId="94" fillId="24" borderId="150" xfId="0" applyNumberFormat="1" applyFont="1" applyFill="1" applyBorder="1"/>
    <xf numFmtId="0" fontId="73" fillId="22" borderId="0" xfId="0" applyFont="1" applyFill="1"/>
    <xf numFmtId="37" fontId="62" fillId="22" borderId="0" xfId="0" applyNumberFormat="1" applyFont="1" applyFill="1"/>
    <xf numFmtId="0" fontId="96" fillId="0" borderId="1" xfId="15" applyFont="1"/>
    <xf numFmtId="0" fontId="10" fillId="0" borderId="1" xfId="15"/>
    <xf numFmtId="0" fontId="97" fillId="0" borderId="1" xfId="15" applyFont="1"/>
    <xf numFmtId="0" fontId="98" fillId="0" borderId="1" xfId="15" applyFont="1" applyAlignment="1">
      <alignment horizontal="center"/>
    </xf>
    <xf numFmtId="0" fontId="10" fillId="0" borderId="1" xfId="15" applyAlignment="1">
      <alignment horizontal="center"/>
    </xf>
    <xf numFmtId="0" fontId="85" fillId="0" borderId="1" xfId="15" applyFont="1" applyAlignment="1">
      <alignment horizontal="center"/>
    </xf>
    <xf numFmtId="0" fontId="85" fillId="20" borderId="210" xfId="15" applyFont="1" applyFill="1" applyBorder="1" applyAlignment="1">
      <alignment horizontal="center" vertical="center" wrapText="1"/>
    </xf>
    <xf numFmtId="0" fontId="85" fillId="20" borderId="211" xfId="15" applyFont="1" applyFill="1" applyBorder="1" applyAlignment="1">
      <alignment horizontal="center" vertical="center" wrapText="1"/>
    </xf>
    <xf numFmtId="0" fontId="85" fillId="20" borderId="212" xfId="15" applyFont="1" applyFill="1" applyBorder="1" applyAlignment="1">
      <alignment horizontal="center" vertical="center" wrapText="1"/>
    </xf>
    <xf numFmtId="0" fontId="85" fillId="20" borderId="209" xfId="15" applyFont="1" applyFill="1" applyBorder="1" applyAlignment="1">
      <alignment horizontal="center" vertical="center" wrapText="1"/>
    </xf>
    <xf numFmtId="0" fontId="85" fillId="0" borderId="1" xfId="15" applyFont="1"/>
    <xf numFmtId="167" fontId="86" fillId="11" borderId="214" xfId="15" applyNumberFormat="1" applyFont="1" applyFill="1" applyBorder="1" applyAlignment="1">
      <alignment horizontal="center" vertical="center"/>
    </xf>
    <xf numFmtId="167" fontId="86" fillId="11" borderId="216" xfId="15" applyNumberFormat="1" applyFont="1" applyFill="1" applyBorder="1" applyAlignment="1">
      <alignment horizontal="center" vertical="center"/>
    </xf>
    <xf numFmtId="0" fontId="86" fillId="11" borderId="215" xfId="15" applyFont="1" applyFill="1" applyBorder="1" applyAlignment="1">
      <alignment horizontal="center" vertical="center"/>
    </xf>
    <xf numFmtId="3" fontId="85" fillId="11" borderId="214" xfId="15" applyNumberFormat="1" applyFont="1" applyFill="1" applyBorder="1" applyAlignment="1">
      <alignment horizontal="center" vertical="center"/>
    </xf>
    <xf numFmtId="3" fontId="85" fillId="11" borderId="216" xfId="15" applyNumberFormat="1" applyFont="1" applyFill="1" applyBorder="1" applyAlignment="1">
      <alignment horizontal="center" vertical="center"/>
    </xf>
    <xf numFmtId="0" fontId="10" fillId="11" borderId="217" xfId="15" applyFill="1" applyBorder="1" applyAlignment="1">
      <alignment wrapText="1"/>
    </xf>
    <xf numFmtId="0" fontId="10" fillId="0" borderId="209" xfId="15" applyBorder="1" applyAlignment="1" applyProtection="1">
      <alignment horizontal="center" vertical="center" wrapText="1"/>
      <protection locked="0"/>
    </xf>
    <xf numFmtId="0" fontId="10" fillId="0" borderId="209" xfId="15" applyBorder="1" applyAlignment="1">
      <alignment horizontal="center" vertical="center"/>
    </xf>
    <xf numFmtId="0" fontId="10" fillId="0" borderId="168" xfId="15" applyBorder="1" applyAlignment="1" applyProtection="1">
      <alignment horizontal="center" vertical="center" wrapText="1"/>
      <protection locked="0"/>
    </xf>
    <xf numFmtId="37" fontId="10" fillId="0" borderId="1" xfId="15" applyNumberFormat="1" applyAlignment="1" applyProtection="1">
      <alignment horizontal="center" vertical="center"/>
      <protection locked="0"/>
    </xf>
    <xf numFmtId="37" fontId="10" fillId="0" borderId="218" xfId="15" applyNumberFormat="1" applyBorder="1" applyAlignment="1" applyProtection="1">
      <alignment horizontal="center" vertical="center"/>
      <protection locked="0"/>
    </xf>
    <xf numFmtId="0" fontId="10" fillId="0" borderId="219" xfId="15" applyBorder="1" applyAlignment="1" applyProtection="1">
      <alignment horizontal="center" vertical="center" wrapText="1"/>
      <protection locked="0"/>
    </xf>
    <xf numFmtId="0" fontId="10" fillId="0" borderId="219" xfId="15" applyBorder="1" applyAlignment="1">
      <alignment horizontal="center" vertical="center"/>
    </xf>
    <xf numFmtId="0" fontId="10" fillId="0" borderId="218" xfId="15" applyBorder="1" applyAlignment="1" applyProtection="1">
      <alignment horizontal="center" vertical="center" wrapText="1"/>
      <protection locked="0"/>
    </xf>
    <xf numFmtId="0" fontId="10" fillId="0" borderId="213" xfId="15" applyBorder="1" applyAlignment="1" applyProtection="1">
      <alignment horizontal="center" vertical="center" wrapText="1"/>
      <protection locked="0"/>
    </xf>
    <xf numFmtId="0" fontId="10" fillId="0" borderId="213" xfId="15" applyBorder="1" applyAlignment="1">
      <alignment horizontal="center" vertical="center"/>
    </xf>
    <xf numFmtId="0" fontId="10" fillId="0" borderId="220" xfId="15" applyBorder="1" applyAlignment="1" applyProtection="1">
      <alignment horizontal="center" vertical="center" wrapText="1"/>
      <protection locked="0"/>
    </xf>
    <xf numFmtId="0" fontId="10" fillId="0" borderId="221" xfId="15" applyBorder="1" applyAlignment="1" applyProtection="1">
      <alignment horizontal="center" vertical="center" wrapText="1"/>
      <protection locked="0"/>
    </xf>
    <xf numFmtId="37" fontId="10" fillId="0" borderId="220" xfId="15" applyNumberFormat="1" applyBorder="1" applyAlignment="1" applyProtection="1">
      <alignment horizontal="center" vertical="center"/>
      <protection locked="0"/>
    </xf>
    <xf numFmtId="37" fontId="10" fillId="0" borderId="222" xfId="15" applyNumberFormat="1" applyBorder="1" applyAlignment="1" applyProtection="1">
      <alignment horizontal="center" vertical="center"/>
      <protection locked="0"/>
    </xf>
    <xf numFmtId="0" fontId="10" fillId="0" borderId="1" xfId="15" applyAlignment="1">
      <alignment horizontal="center" wrapText="1"/>
    </xf>
    <xf numFmtId="0" fontId="10" fillId="0" borderId="1" xfId="15" applyAlignment="1">
      <alignment wrapText="1"/>
    </xf>
    <xf numFmtId="1" fontId="42" fillId="0" borderId="1" xfId="0" applyNumberFormat="1" applyFont="1" applyFill="1" applyBorder="1"/>
    <xf numFmtId="37" fontId="42" fillId="34" borderId="17" xfId="0" applyNumberFormat="1" applyFont="1" applyFill="1" applyBorder="1"/>
    <xf numFmtId="171" fontId="42" fillId="34" borderId="17" xfId="0" applyNumberFormat="1" applyFont="1" applyFill="1" applyBorder="1"/>
    <xf numFmtId="9" fontId="0" fillId="0" borderId="0" xfId="1" applyFont="1" applyAlignment="1"/>
    <xf numFmtId="179" fontId="20" fillId="0" borderId="1" xfId="13" applyNumberFormat="1" applyFont="1" applyBorder="1"/>
    <xf numFmtId="166" fontId="42" fillId="0" borderId="39" xfId="5" applyFont="1" applyFill="1" applyBorder="1"/>
    <xf numFmtId="171" fontId="33" fillId="0" borderId="1" xfId="1" applyNumberFormat="1" applyFont="1" applyBorder="1"/>
    <xf numFmtId="1" fontId="38" fillId="0" borderId="0" xfId="0" applyNumberFormat="1" applyFont="1"/>
    <xf numFmtId="171" fontId="42" fillId="0" borderId="1" xfId="1" applyNumberFormat="1" applyFont="1" applyFill="1" applyBorder="1"/>
    <xf numFmtId="49" fontId="88" fillId="13" borderId="1" xfId="10" applyNumberFormat="1" applyFont="1" applyFill="1" applyAlignment="1">
      <alignment horizontal="left" vertical="center"/>
    </xf>
    <xf numFmtId="176" fontId="88" fillId="13" borderId="1" xfId="10" applyNumberFormat="1" applyFont="1" applyFill="1" applyAlignment="1">
      <alignment horizontal="right" vertical="center"/>
    </xf>
    <xf numFmtId="0" fontId="99" fillId="35" borderId="0" xfId="0" applyFont="1" applyFill="1"/>
    <xf numFmtId="49" fontId="13" fillId="13" borderId="1" xfId="10" applyNumberFormat="1" applyFill="1" applyAlignment="1">
      <alignment horizontal="left" vertical="center"/>
    </xf>
    <xf numFmtId="0" fontId="13" fillId="13" borderId="1" xfId="10" applyNumberFormat="1" applyFill="1" applyAlignment="1">
      <alignment horizontal="left" vertical="center"/>
    </xf>
    <xf numFmtId="4" fontId="13" fillId="13" borderId="1" xfId="10" applyNumberFormat="1" applyFill="1"/>
    <xf numFmtId="0" fontId="13" fillId="13" borderId="1" xfId="10" applyFill="1"/>
    <xf numFmtId="176" fontId="13" fillId="13" borderId="1" xfId="10" applyNumberFormat="1" applyFill="1" applyAlignment="1">
      <alignment horizontal="right" vertical="center"/>
    </xf>
    <xf numFmtId="8" fontId="13" fillId="13" borderId="1" xfId="10" applyNumberFormat="1" applyFill="1"/>
    <xf numFmtId="0" fontId="15" fillId="13" borderId="1" xfId="9" applyFill="1"/>
    <xf numFmtId="176" fontId="15" fillId="13" borderId="1" xfId="9" applyNumberFormat="1" applyFill="1" applyAlignment="1">
      <alignment horizontal="right" vertical="center"/>
    </xf>
    <xf numFmtId="8" fontId="23" fillId="13" borderId="1" xfId="0" applyNumberFormat="1" applyFont="1" applyFill="1" applyBorder="1" applyAlignment="1">
      <alignment horizontal="left" vertical="top"/>
    </xf>
    <xf numFmtId="8" fontId="15" fillId="13" borderId="1" xfId="9" applyNumberFormat="1" applyFill="1"/>
    <xf numFmtId="8" fontId="19" fillId="13" borderId="1" xfId="6" applyNumberFormat="1" applyFill="1"/>
    <xf numFmtId="4" fontId="15" fillId="13" borderId="1" xfId="9" applyNumberFormat="1" applyFill="1"/>
    <xf numFmtId="4" fontId="23" fillId="13" borderId="1" xfId="0" applyNumberFormat="1" applyFont="1" applyFill="1" applyBorder="1" applyAlignment="1">
      <alignment horizontal="left" vertical="top"/>
    </xf>
    <xf numFmtId="0" fontId="31" fillId="0" borderId="0" xfId="0" applyFont="1" applyAlignment="1">
      <alignment horizontal="left" vertical="center"/>
    </xf>
    <xf numFmtId="3" fontId="34" fillId="0" borderId="23" xfId="0" applyNumberFormat="1" applyFont="1" applyFill="1" applyBorder="1"/>
    <xf numFmtId="3" fontId="60" fillId="0" borderId="13" xfId="0" applyNumberFormat="1" applyFont="1" applyFill="1" applyBorder="1"/>
    <xf numFmtId="10" fontId="34" fillId="3" borderId="8" xfId="0" applyNumberFormat="1" applyFont="1" applyFill="1" applyBorder="1"/>
    <xf numFmtId="4" fontId="65" fillId="36" borderId="0" xfId="0" applyNumberFormat="1" applyFont="1" applyFill="1" applyAlignment="1">
      <alignment horizontal="center" vertical="top"/>
    </xf>
    <xf numFmtId="49" fontId="88" fillId="0" borderId="1" xfId="12" applyNumberFormat="1" applyFont="1" applyFill="1" applyAlignment="1">
      <alignment horizontal="center" vertical="center"/>
    </xf>
    <xf numFmtId="166" fontId="88" fillId="0" borderId="1" xfId="5" applyFont="1" applyFill="1" applyBorder="1" applyAlignment="1">
      <alignment horizontal="center" vertical="center"/>
    </xf>
    <xf numFmtId="178" fontId="88"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78"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92"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92" fillId="0" borderId="1" xfId="5" applyFont="1" applyFill="1" applyBorder="1" applyAlignment="1">
      <alignment horizontal="center" vertical="center"/>
    </xf>
    <xf numFmtId="178" fontId="92" fillId="0" borderId="1" xfId="12" applyNumberFormat="1" applyFill="1" applyAlignment="1">
      <alignment horizontal="center" vertical="center"/>
    </xf>
    <xf numFmtId="0" fontId="0" fillId="0" borderId="1" xfId="12" applyFont="1" applyFill="1"/>
    <xf numFmtId="0" fontId="57" fillId="0" borderId="1" xfId="11" applyFill="1"/>
    <xf numFmtId="171" fontId="31" fillId="0" borderId="0" xfId="0" applyNumberFormat="1" applyFont="1"/>
    <xf numFmtId="49" fontId="88" fillId="20" borderId="1" xfId="6" applyNumberFormat="1" applyFont="1" applyFill="1" applyAlignment="1">
      <alignment horizontal="left" vertical="center"/>
    </xf>
    <xf numFmtId="176" fontId="88" fillId="20" borderId="1" xfId="6" applyNumberFormat="1" applyFont="1" applyFill="1" applyAlignment="1">
      <alignment horizontal="right" vertical="center"/>
    </xf>
    <xf numFmtId="0" fontId="17" fillId="20" borderId="1" xfId="8" applyFill="1"/>
    <xf numFmtId="176" fontId="17" fillId="20" borderId="1" xfId="8" applyNumberFormat="1" applyFill="1" applyAlignment="1">
      <alignment horizontal="right" vertical="center"/>
    </xf>
    <xf numFmtId="49" fontId="23" fillId="20" borderId="1" xfId="0" applyNumberFormat="1" applyFont="1" applyFill="1" applyBorder="1" applyAlignment="1">
      <alignment horizontal="left" vertical="center"/>
    </xf>
    <xf numFmtId="0" fontId="23" fillId="20" borderId="1" xfId="0" applyFont="1" applyFill="1" applyBorder="1" applyAlignment="1">
      <alignment horizontal="left" vertical="top"/>
    </xf>
    <xf numFmtId="0" fontId="19" fillId="20" borderId="1" xfId="6" applyFill="1"/>
    <xf numFmtId="176" fontId="19" fillId="20" borderId="1" xfId="6" applyNumberFormat="1" applyFill="1" applyAlignment="1">
      <alignment horizontal="right" vertical="center"/>
    </xf>
    <xf numFmtId="0" fontId="18" fillId="20" borderId="1" xfId="7" applyFill="1"/>
    <xf numFmtId="176" fontId="18" fillId="20" borderId="1" xfId="7" applyNumberFormat="1" applyFill="1" applyAlignment="1">
      <alignment horizontal="right" vertical="center"/>
    </xf>
    <xf numFmtId="0" fontId="23" fillId="20" borderId="1" xfId="0" applyFont="1" applyFill="1" applyBorder="1"/>
    <xf numFmtId="174" fontId="23" fillId="20" borderId="1" xfId="0" applyNumberFormat="1" applyFont="1" applyFill="1" applyBorder="1" applyAlignment="1">
      <alignment horizontal="right" vertical="center"/>
    </xf>
    <xf numFmtId="49" fontId="23" fillId="37" borderId="1" xfId="0" applyNumberFormat="1" applyFont="1" applyFill="1" applyBorder="1" applyAlignment="1">
      <alignment horizontal="left" vertical="center"/>
    </xf>
    <xf numFmtId="0" fontId="23" fillId="37" borderId="1" xfId="0" applyFont="1" applyFill="1" applyBorder="1"/>
    <xf numFmtId="0" fontId="23" fillId="37" borderId="1" xfId="0" applyFont="1" applyFill="1" applyBorder="1" applyAlignment="1">
      <alignment horizontal="left" vertical="top"/>
    </xf>
    <xf numFmtId="0" fontId="10" fillId="0" borderId="212" xfId="15" applyBorder="1" applyAlignment="1" applyProtection="1">
      <alignment horizontal="left" vertical="center" wrapText="1" indent="1"/>
      <protection locked="0"/>
    </xf>
    <xf numFmtId="0" fontId="10" fillId="0" borderId="218" xfId="15" applyBorder="1" applyAlignment="1" applyProtection="1">
      <alignment horizontal="left" vertical="center" wrapText="1" indent="1"/>
      <protection locked="0"/>
    </xf>
    <xf numFmtId="0" fontId="10" fillId="0" borderId="168" xfId="15" applyBorder="1" applyAlignment="1" applyProtection="1">
      <alignment horizontal="left" vertical="center" wrapText="1" indent="1"/>
      <protection locked="0"/>
    </xf>
    <xf numFmtId="0" fontId="100" fillId="38" borderId="0" xfId="0" applyFont="1" applyFill="1" applyAlignment="1"/>
    <xf numFmtId="0" fontId="101" fillId="35" borderId="1" xfId="16" applyFont="1" applyFill="1"/>
    <xf numFmtId="0" fontId="9" fillId="0" borderId="1" xfId="16"/>
    <xf numFmtId="0" fontId="85" fillId="0" borderId="1" xfId="16" applyFont="1" applyAlignment="1">
      <alignment horizontal="left" indent="1"/>
    </xf>
    <xf numFmtId="6" fontId="85" fillId="39" borderId="1" xfId="16" applyNumberFormat="1" applyFont="1" applyFill="1" applyProtection="1">
      <protection locked="0"/>
    </xf>
    <xf numFmtId="6" fontId="85" fillId="0" borderId="1" xfId="16" applyNumberFormat="1" applyFont="1"/>
    <xf numFmtId="6" fontId="85" fillId="39" borderId="1" xfId="17" applyNumberFormat="1" applyFont="1" applyFill="1" applyAlignment="1" applyProtection="1">
      <protection locked="0"/>
    </xf>
    <xf numFmtId="171" fontId="85" fillId="0" borderId="1" xfId="18" applyNumberFormat="1" applyFont="1" applyFill="1" applyAlignment="1" applyProtection="1">
      <alignment horizontal="center"/>
      <protection locked="0"/>
    </xf>
    <xf numFmtId="6" fontId="85" fillId="39" borderId="1" xfId="17" applyNumberFormat="1" applyFont="1" applyFill="1"/>
    <xf numFmtId="3" fontId="85" fillId="39" borderId="1" xfId="16" applyNumberFormat="1" applyFont="1" applyFill="1" applyAlignment="1" applyProtection="1">
      <alignment horizontal="right" indent="2"/>
      <protection locked="0"/>
    </xf>
    <xf numFmtId="171" fontId="9" fillId="0" borderId="1" xfId="18" applyNumberFormat="1" applyFont="1" applyFill="1" applyAlignment="1" applyProtection="1">
      <alignment horizontal="center"/>
      <protection locked="0"/>
    </xf>
    <xf numFmtId="6" fontId="102" fillId="0" borderId="223" xfId="16" applyNumberFormat="1" applyFont="1" applyBorder="1"/>
    <xf numFmtId="6" fontId="102" fillId="0" borderId="223" xfId="17" applyNumberFormat="1" applyFont="1" applyBorder="1"/>
    <xf numFmtId="6" fontId="85" fillId="0" borderId="223" xfId="16" applyNumberFormat="1" applyFont="1" applyBorder="1"/>
    <xf numFmtId="171" fontId="103" fillId="0" borderId="1" xfId="18" applyNumberFormat="1" applyFont="1" applyAlignment="1">
      <alignment horizontal="center" vertical="top"/>
    </xf>
    <xf numFmtId="6" fontId="85" fillId="0" borderId="1" xfId="17" applyNumberFormat="1" applyFont="1" applyAlignment="1"/>
    <xf numFmtId="171" fontId="85" fillId="0" borderId="1" xfId="18" applyNumberFormat="1" applyFont="1" applyAlignment="1">
      <alignment horizontal="center"/>
    </xf>
    <xf numFmtId="3" fontId="85" fillId="0" borderId="1" xfId="16" applyNumberFormat="1" applyFont="1" applyAlignment="1">
      <alignment horizontal="right" indent="2"/>
    </xf>
    <xf numFmtId="6" fontId="104" fillId="0" borderId="1" xfId="16" applyNumberFormat="1" applyFont="1" applyAlignment="1">
      <alignment horizontal="center" vertical="center"/>
    </xf>
    <xf numFmtId="6" fontId="104" fillId="0" borderId="1" xfId="17" applyNumberFormat="1" applyFont="1" applyAlignment="1">
      <alignment horizontal="center" vertical="center"/>
    </xf>
    <xf numFmtId="1" fontId="85" fillId="39" borderId="1" xfId="16" applyNumberFormat="1" applyFont="1" applyFill="1" applyAlignment="1" applyProtection="1">
      <alignment horizontal="right" indent="2"/>
      <protection locked="0"/>
    </xf>
    <xf numFmtId="1" fontId="85" fillId="0" borderId="1" xfId="16" applyNumberFormat="1" applyFont="1" applyAlignment="1">
      <alignment horizontal="right" indent="2"/>
    </xf>
    <xf numFmtId="0" fontId="9" fillId="0" borderId="170" xfId="16" applyFont="1" applyBorder="1" applyAlignment="1">
      <alignment horizontal="center"/>
    </xf>
    <xf numFmtId="0" fontId="9" fillId="0" borderId="1" xfId="16" applyFont="1"/>
    <xf numFmtId="0" fontId="9" fillId="0" borderId="170" xfId="16" applyFont="1" applyBorder="1"/>
    <xf numFmtId="0" fontId="9" fillId="0" borderId="1" xfId="16" applyFont="1" applyAlignment="1">
      <alignment horizontal="left" indent="1"/>
    </xf>
    <xf numFmtId="1" fontId="9" fillId="39" borderId="1" xfId="16" applyNumberFormat="1" applyFont="1" applyFill="1" applyAlignment="1" applyProtection="1">
      <alignment horizontal="right" indent="2"/>
      <protection locked="0"/>
    </xf>
    <xf numFmtId="6" fontId="9" fillId="39" borderId="1" xfId="16" applyNumberFormat="1" applyFont="1" applyFill="1" applyProtection="1">
      <protection locked="0"/>
    </xf>
    <xf numFmtId="6" fontId="9" fillId="0" borderId="1" xfId="16" applyNumberFormat="1" applyFont="1"/>
    <xf numFmtId="6" fontId="9" fillId="39" borderId="1" xfId="17" applyNumberFormat="1" applyFont="1" applyFill="1" applyAlignment="1" applyProtection="1">
      <protection locked="0"/>
    </xf>
    <xf numFmtId="6" fontId="9" fillId="39" borderId="1" xfId="17" applyNumberFormat="1" applyFont="1" applyFill="1"/>
    <xf numFmtId="0" fontId="9" fillId="0" borderId="1" xfId="16" applyFont="1" applyAlignment="1">
      <alignment horizontal="left" indent="2"/>
    </xf>
    <xf numFmtId="1" fontId="9" fillId="0" borderId="223" xfId="16" applyNumberFormat="1" applyFont="1" applyBorder="1" applyAlignment="1">
      <alignment horizontal="right" indent="2"/>
    </xf>
    <xf numFmtId="6" fontId="9" fillId="0" borderId="223" xfId="16" applyNumberFormat="1" applyFont="1" applyBorder="1"/>
    <xf numFmtId="6" fontId="9" fillId="0" borderId="223" xfId="17" applyNumberFormat="1" applyFont="1" applyBorder="1" applyAlignment="1"/>
    <xf numFmtId="171" fontId="9" fillId="0" borderId="223" xfId="18" applyNumberFormat="1" applyFont="1" applyBorder="1" applyAlignment="1">
      <alignment horizontal="center"/>
    </xf>
    <xf numFmtId="1" fontId="9" fillId="0" borderId="1" xfId="16" applyNumberFormat="1" applyFont="1"/>
    <xf numFmtId="6" fontId="9" fillId="0" borderId="1" xfId="17" applyNumberFormat="1" applyFont="1"/>
    <xf numFmtId="171" fontId="9" fillId="0" borderId="1" xfId="16" applyNumberFormat="1" applyFont="1" applyAlignment="1">
      <alignment horizontal="center"/>
    </xf>
    <xf numFmtId="171" fontId="9" fillId="0" borderId="1" xfId="18" applyNumberFormat="1" applyFont="1" applyAlignment="1">
      <alignment horizontal="center"/>
    </xf>
    <xf numFmtId="171" fontId="9" fillId="0" borderId="1" xfId="18" applyNumberFormat="1" applyFont="1" applyBorder="1" applyAlignment="1">
      <alignment horizontal="center"/>
    </xf>
    <xf numFmtId="6" fontId="9" fillId="0" borderId="1" xfId="17" applyNumberFormat="1" applyFont="1" applyBorder="1"/>
    <xf numFmtId="1" fontId="9" fillId="0" borderId="1" xfId="16" applyNumberFormat="1" applyFont="1" applyAlignment="1">
      <alignment horizontal="right" indent="2"/>
    </xf>
    <xf numFmtId="6" fontId="9" fillId="0" borderId="1" xfId="17" applyNumberFormat="1" applyFont="1" applyAlignment="1"/>
    <xf numFmtId="0" fontId="9" fillId="0" borderId="170" xfId="16" applyFont="1" applyBorder="1" applyAlignment="1">
      <alignment horizontal="left"/>
    </xf>
    <xf numFmtId="6" fontId="9" fillId="0" borderId="1" xfId="16" applyNumberFormat="1" applyFont="1" applyAlignment="1">
      <alignment horizontal="center"/>
    </xf>
    <xf numFmtId="6" fontId="9" fillId="0" borderId="1" xfId="17" applyNumberFormat="1" applyFont="1" applyAlignment="1">
      <alignment horizontal="center"/>
    </xf>
    <xf numFmtId="6" fontId="9" fillId="0" borderId="223" xfId="17" applyNumberFormat="1" applyFont="1" applyBorder="1"/>
    <xf numFmtId="0" fontId="9" fillId="0" borderId="1" xfId="16" applyFont="1" applyAlignment="1">
      <alignment horizontal="left"/>
    </xf>
    <xf numFmtId="171" fontId="9" fillId="0" borderId="1" xfId="18" applyNumberFormat="1" applyFont="1" applyAlignment="1">
      <alignment horizontal="right" indent="1"/>
    </xf>
    <xf numFmtId="0" fontId="9" fillId="0" borderId="1" xfId="16" applyFont="1" applyAlignment="1">
      <alignment horizontal="center"/>
    </xf>
    <xf numFmtId="3" fontId="9" fillId="39" borderId="1" xfId="16" applyNumberFormat="1" applyFont="1" applyFill="1" applyAlignment="1" applyProtection="1">
      <alignment horizontal="right" indent="2"/>
      <protection locked="0"/>
    </xf>
    <xf numFmtId="3" fontId="9" fillId="0" borderId="223" xfId="16" applyNumberFormat="1" applyFont="1" applyBorder="1" applyAlignment="1">
      <alignment horizontal="right" indent="2"/>
    </xf>
    <xf numFmtId="3" fontId="9" fillId="0" borderId="1" xfId="16" applyNumberFormat="1" applyFont="1" applyAlignment="1">
      <alignment horizontal="right" indent="2"/>
    </xf>
    <xf numFmtId="0" fontId="85" fillId="0" borderId="224" xfId="16" applyFont="1" applyBorder="1" applyAlignment="1">
      <alignment horizontal="centerContinuous"/>
    </xf>
    <xf numFmtId="0" fontId="85" fillId="0" borderId="225" xfId="16" applyFont="1" applyBorder="1" applyAlignment="1">
      <alignment horizontal="centerContinuous"/>
    </xf>
    <xf numFmtId="0" fontId="85" fillId="0" borderId="226" xfId="16" applyFont="1" applyBorder="1" applyAlignment="1">
      <alignment horizontal="centerContinuous"/>
    </xf>
    <xf numFmtId="0" fontId="99" fillId="35" borderId="0" xfId="0" applyFont="1" applyFill="1" applyAlignment="1">
      <alignment vertical="center"/>
    </xf>
    <xf numFmtId="0" fontId="25" fillId="0" borderId="0" xfId="0" applyFont="1" applyAlignment="1">
      <alignment horizontal="center" vertical="center"/>
    </xf>
    <xf numFmtId="0" fontId="25" fillId="0" borderId="0" xfId="0" applyFont="1" applyAlignment="1">
      <alignment horizontal="right" vertical="center"/>
    </xf>
    <xf numFmtId="0" fontId="36" fillId="0" borderId="0" xfId="0" applyFont="1"/>
    <xf numFmtId="37" fontId="36" fillId="0" borderId="0" xfId="0" applyNumberFormat="1" applyFont="1"/>
    <xf numFmtId="0" fontId="36" fillId="0" borderId="0" xfId="0" applyFont="1" applyAlignment="1">
      <alignment horizontal="center"/>
    </xf>
    <xf numFmtId="166" fontId="36" fillId="0" borderId="0" xfId="5" applyFont="1"/>
    <xf numFmtId="166" fontId="36" fillId="0" borderId="223" xfId="5" applyFont="1" applyBorder="1"/>
    <xf numFmtId="0" fontId="36" fillId="0" borderId="170" xfId="0" applyFont="1" applyBorder="1" applyAlignment="1">
      <alignment horizontal="center"/>
    </xf>
    <xf numFmtId="171" fontId="36" fillId="0" borderId="0" xfId="1" applyNumberFormat="1" applyFont="1" applyAlignment="1">
      <alignment horizontal="left" indent="1"/>
    </xf>
    <xf numFmtId="171" fontId="36" fillId="0" borderId="223" xfId="1" applyNumberFormat="1" applyFont="1" applyBorder="1" applyAlignment="1">
      <alignment horizontal="left" indent="1"/>
    </xf>
    <xf numFmtId="181" fontId="36" fillId="0" borderId="0" xfId="0" applyNumberFormat="1" applyFont="1" applyAlignment="1">
      <alignment horizontal="center"/>
    </xf>
    <xf numFmtId="166" fontId="36" fillId="0" borderId="227" xfId="5" applyFont="1" applyBorder="1"/>
    <xf numFmtId="0" fontId="36" fillId="0" borderId="0" xfId="0" applyFont="1" applyAlignment="1"/>
    <xf numFmtId="0" fontId="36" fillId="0" borderId="0" xfId="0" applyFont="1" applyAlignment="1">
      <alignment horizontal="left" indent="2"/>
    </xf>
    <xf numFmtId="0" fontId="36" fillId="0" borderId="227" xfId="0" applyFont="1" applyBorder="1" applyAlignment="1">
      <alignment horizontal="center"/>
    </xf>
    <xf numFmtId="0" fontId="42" fillId="0" borderId="214" xfId="0" applyFont="1" applyBorder="1" applyAlignment="1"/>
    <xf numFmtId="0" fontId="36" fillId="0" borderId="216" xfId="0" applyFont="1" applyBorder="1"/>
    <xf numFmtId="37" fontId="36" fillId="0" borderId="216" xfId="0" applyNumberFormat="1" applyFont="1" applyBorder="1"/>
    <xf numFmtId="0" fontId="36" fillId="0" borderId="215" xfId="0" applyFont="1" applyBorder="1"/>
    <xf numFmtId="0" fontId="36" fillId="0" borderId="1" xfId="0" applyFont="1" applyBorder="1" applyAlignment="1">
      <alignment horizontal="center"/>
    </xf>
    <xf numFmtId="0" fontId="74" fillId="20" borderId="0" xfId="0" applyFont="1" applyFill="1" applyAlignment="1">
      <alignment horizontal="left" vertical="center" indent="1"/>
    </xf>
    <xf numFmtId="0" fontId="35" fillId="20" borderId="0" xfId="0" applyFont="1" applyFill="1" applyAlignment="1">
      <alignment horizontal="left" vertical="center" indent="1"/>
    </xf>
    <xf numFmtId="1" fontId="33" fillId="0" borderId="12" xfId="0" applyNumberFormat="1" applyFont="1" applyFill="1" applyBorder="1"/>
    <xf numFmtId="0" fontId="105" fillId="17" borderId="229" xfId="0" applyFont="1" applyFill="1" applyBorder="1" applyAlignment="1"/>
    <xf numFmtId="0" fontId="106" fillId="17" borderId="230" xfId="0" applyFont="1" applyFill="1" applyBorder="1"/>
    <xf numFmtId="10" fontId="106" fillId="17" borderId="55" xfId="0" applyNumberFormat="1" applyFont="1" applyFill="1" applyBorder="1"/>
    <xf numFmtId="0" fontId="105" fillId="17" borderId="231" xfId="0" applyFont="1" applyFill="1" applyBorder="1"/>
    <xf numFmtId="10" fontId="106" fillId="17" borderId="232" xfId="0" applyNumberFormat="1" applyFont="1" applyFill="1" applyBorder="1"/>
    <xf numFmtId="0" fontId="107" fillId="17" borderId="228" xfId="0" applyFont="1" applyFill="1" applyBorder="1" applyAlignment="1"/>
    <xf numFmtId="14" fontId="41" fillId="0" borderId="0" xfId="0" applyNumberFormat="1" applyFont="1"/>
    <xf numFmtId="166" fontId="0" fillId="0" borderId="1" xfId="5" applyFont="1" applyFill="1" applyBorder="1" applyAlignment="1">
      <alignment horizontal="right" vertical="center"/>
    </xf>
    <xf numFmtId="0" fontId="101" fillId="35" borderId="1" xfId="19" applyFont="1" applyFill="1"/>
    <xf numFmtId="171" fontId="8" fillId="39" borderId="1" xfId="20" applyNumberFormat="1" applyFont="1" applyFill="1" applyAlignment="1" applyProtection="1">
      <alignment horizontal="center"/>
      <protection locked="0"/>
    </xf>
    <xf numFmtId="0" fontId="8" fillId="0" borderId="127" xfId="19" applyFont="1" applyBorder="1" applyAlignment="1">
      <alignment horizontal="centerContinuous"/>
    </xf>
    <xf numFmtId="0" fontId="8" fillId="0" borderId="129" xfId="19" applyFont="1" applyBorder="1" applyAlignment="1">
      <alignment horizontal="centerContinuous"/>
    </xf>
    <xf numFmtId="0" fontId="8" fillId="0" borderId="171" xfId="19" applyFont="1" applyBorder="1" applyAlignment="1">
      <alignment horizontal="centerContinuous"/>
    </xf>
    <xf numFmtId="0" fontId="8" fillId="0" borderId="1" xfId="19" applyFont="1"/>
    <xf numFmtId="0" fontId="8" fillId="0" borderId="233" xfId="19" applyFont="1" applyBorder="1" applyAlignment="1">
      <alignment horizontal="center"/>
    </xf>
    <xf numFmtId="0" fontId="8" fillId="0" borderId="170" xfId="19" applyFont="1" applyBorder="1" applyAlignment="1">
      <alignment horizontal="center"/>
    </xf>
    <xf numFmtId="0" fontId="8" fillId="0" borderId="174" xfId="19" applyFont="1" applyBorder="1"/>
    <xf numFmtId="6" fontId="8" fillId="39" borderId="1" xfId="19" applyNumberFormat="1" applyFont="1" applyFill="1" applyProtection="1">
      <protection locked="0"/>
    </xf>
    <xf numFmtId="0" fontId="8" fillId="0" borderId="1" xfId="19" applyFont="1" applyProtection="1">
      <protection locked="0"/>
    </xf>
    <xf numFmtId="6" fontId="8" fillId="0" borderId="1" xfId="19" applyNumberFormat="1" applyFont="1"/>
    <xf numFmtId="6" fontId="8" fillId="0" borderId="234" xfId="19" applyNumberFormat="1" applyFont="1" applyBorder="1"/>
    <xf numFmtId="171" fontId="8" fillId="0" borderId="234" xfId="20" applyNumberFormat="1" applyFont="1" applyBorder="1" applyAlignment="1">
      <alignment horizontal="center"/>
    </xf>
    <xf numFmtId="171" fontId="8" fillId="0" borderId="1" xfId="20" applyNumberFormat="1" applyFont="1" applyAlignment="1">
      <alignment horizontal="center"/>
    </xf>
    <xf numFmtId="6" fontId="8" fillId="0" borderId="129" xfId="19" applyNumberFormat="1" applyFont="1" applyBorder="1"/>
    <xf numFmtId="171" fontId="8" fillId="0" borderId="129" xfId="20" applyNumberFormat="1" applyFont="1" applyBorder="1" applyAlignment="1">
      <alignment horizontal="center"/>
    </xf>
    <xf numFmtId="6" fontId="8" fillId="0" borderId="227" xfId="19" applyNumberFormat="1" applyFont="1" applyBorder="1"/>
    <xf numFmtId="171" fontId="8" fillId="0" borderId="227" xfId="20" applyNumberFormat="1" applyFont="1" applyBorder="1" applyAlignment="1">
      <alignment horizontal="center"/>
    </xf>
    <xf numFmtId="3" fontId="8" fillId="0" borderId="1" xfId="19" applyNumberFormat="1" applyFont="1"/>
    <xf numFmtId="0" fontId="8" fillId="0" borderId="1" xfId="19" applyFont="1" applyAlignment="1">
      <alignment horizontal="right"/>
    </xf>
    <xf numFmtId="0" fontId="16" fillId="0" borderId="172" xfId="3" applyFont="1" applyFill="1" applyBorder="1" applyAlignment="1">
      <alignment horizontal="left"/>
    </xf>
    <xf numFmtId="1" fontId="16" fillId="0" borderId="180" xfId="3" applyNumberFormat="1" applyFont="1" applyFill="1" applyBorder="1" applyAlignment="1">
      <alignment horizontal="center"/>
    </xf>
    <xf numFmtId="0" fontId="20" fillId="0" borderId="172" xfId="3" applyFill="1" applyBorder="1" applyAlignment="1">
      <alignment horizontal="left" indent="1"/>
    </xf>
    <xf numFmtId="0" fontId="16" fillId="0" borderId="180" xfId="3" applyFont="1" applyFill="1" applyBorder="1" applyAlignment="1">
      <alignment horizontal="center"/>
    </xf>
    <xf numFmtId="0" fontId="20" fillId="0" borderId="174" xfId="3" applyFill="1" applyBorder="1" applyAlignment="1">
      <alignment horizontal="left" indent="1"/>
    </xf>
    <xf numFmtId="167" fontId="16" fillId="0" borderId="186" xfId="3" applyNumberFormat="1" applyFont="1" applyFill="1" applyBorder="1" applyAlignment="1">
      <alignment horizontal="center"/>
    </xf>
    <xf numFmtId="0" fontId="14" fillId="0" borderId="180" xfId="3" applyFont="1" applyFill="1" applyBorder="1" applyAlignment="1">
      <alignment horizontal="center"/>
    </xf>
    <xf numFmtId="167" fontId="14" fillId="0" borderId="186" xfId="3" applyNumberFormat="1" applyFont="1" applyFill="1" applyBorder="1" applyAlignment="1">
      <alignment horizontal="center"/>
    </xf>
    <xf numFmtId="167" fontId="12" fillId="0" borderId="186" xfId="3" applyNumberFormat="1" applyFont="1" applyFill="1" applyBorder="1" applyAlignment="1">
      <alignment horizontal="center"/>
    </xf>
    <xf numFmtId="171" fontId="34" fillId="3" borderId="74" xfId="1" applyNumberFormat="1" applyFont="1" applyFill="1" applyBorder="1"/>
    <xf numFmtId="1" fontId="23" fillId="26" borderId="0" xfId="0" applyNumberFormat="1" applyFont="1" applyFill="1" applyAlignment="1">
      <alignment horizontal="left" vertical="top"/>
    </xf>
    <xf numFmtId="49" fontId="23" fillId="26" borderId="0" xfId="0" applyNumberFormat="1" applyFont="1" applyFill="1" applyAlignment="1">
      <alignment horizontal="left" vertical="top"/>
    </xf>
    <xf numFmtId="0" fontId="54" fillId="10" borderId="0" xfId="0" applyFont="1" applyFill="1" applyBorder="1" applyAlignment="1">
      <alignment horizontal="left" vertical="top"/>
    </xf>
    <xf numFmtId="39" fontId="58" fillId="0" borderId="103" xfId="0" applyNumberFormat="1" applyFont="1" applyBorder="1" applyAlignment="1">
      <alignment horizontal="center"/>
    </xf>
    <xf numFmtId="39" fontId="34" fillId="4" borderId="22" xfId="0" applyNumberFormat="1" applyFont="1" applyFill="1" applyBorder="1" applyAlignment="1">
      <alignment horizontal="center"/>
    </xf>
    <xf numFmtId="14" fontId="0" fillId="0" borderId="0" xfId="0" applyNumberFormat="1" applyFont="1" applyAlignment="1">
      <alignment horizontal="center"/>
    </xf>
    <xf numFmtId="180" fontId="57" fillId="0" borderId="0" xfId="0" applyNumberFormat="1" applyFont="1" applyAlignment="1">
      <alignment horizontal="center"/>
    </xf>
    <xf numFmtId="0" fontId="57" fillId="0" borderId="0" xfId="0" applyFont="1" applyAlignment="1">
      <alignment horizontal="center"/>
    </xf>
    <xf numFmtId="1" fontId="88" fillId="13" borderId="1" xfId="10" applyNumberFormat="1" applyFont="1" applyFill="1" applyAlignment="1">
      <alignment horizontal="center" vertical="center"/>
    </xf>
    <xf numFmtId="1" fontId="23" fillId="13" borderId="1" xfId="0" applyNumberFormat="1" applyFont="1" applyFill="1" applyBorder="1" applyAlignment="1">
      <alignment horizontal="center" vertical="top"/>
    </xf>
    <xf numFmtId="1" fontId="17" fillId="13" borderId="1" xfId="8" applyNumberFormat="1" applyFill="1" applyAlignment="1">
      <alignment horizontal="center"/>
    </xf>
    <xf numFmtId="1" fontId="15" fillId="13" borderId="1" xfId="9" applyNumberFormat="1" applyFill="1" applyAlignment="1">
      <alignment horizontal="center"/>
    </xf>
    <xf numFmtId="1" fontId="23" fillId="13" borderId="1" xfId="0" applyNumberFormat="1" applyFont="1" applyFill="1" applyBorder="1" applyAlignment="1">
      <alignment horizontal="center" vertical="center"/>
    </xf>
    <xf numFmtId="1" fontId="0" fillId="0" borderId="0" xfId="0" applyNumberFormat="1" applyFont="1" applyFill="1" applyAlignment="1">
      <alignment horizontal="center"/>
    </xf>
    <xf numFmtId="4" fontId="65" fillId="26" borderId="0" xfId="0" applyNumberFormat="1" applyFont="1" applyFill="1" applyAlignment="1">
      <alignment horizontal="center" vertical="top"/>
    </xf>
    <xf numFmtId="4" fontId="23" fillId="26" borderId="0" xfId="0" applyNumberFormat="1" applyFont="1" applyFill="1" applyAlignment="1">
      <alignment horizontal="center" vertical="top"/>
    </xf>
    <xf numFmtId="10" fontId="110" fillId="0" borderId="0" xfId="1" applyNumberFormat="1" applyFont="1" applyAlignment="1"/>
    <xf numFmtId="0" fontId="57" fillId="0" borderId="0" xfId="0" applyFont="1" applyAlignment="1"/>
    <xf numFmtId="0" fontId="7" fillId="0" borderId="1" xfId="16" applyFont="1"/>
    <xf numFmtId="0" fontId="7" fillId="0" borderId="1" xfId="16" applyFont="1" applyAlignment="1">
      <alignment horizontal="left" indent="1"/>
    </xf>
    <xf numFmtId="0" fontId="6" fillId="0" borderId="1" xfId="16" applyFont="1" applyAlignment="1">
      <alignment horizontal="left" indent="1"/>
    </xf>
    <xf numFmtId="1" fontId="9" fillId="0" borderId="1" xfId="16" applyNumberFormat="1" applyFont="1" applyAlignment="1">
      <alignment horizontal="center"/>
    </xf>
    <xf numFmtId="0" fontId="0" fillId="0" borderId="1" xfId="12" applyFont="1" applyFill="1" applyAlignment="1">
      <alignment horizontal="left"/>
    </xf>
    <xf numFmtId="0" fontId="0" fillId="0" borderId="1" xfId="12" applyFont="1" applyAlignment="1">
      <alignment horizontal="center"/>
    </xf>
    <xf numFmtId="165" fontId="0" fillId="0" borderId="1" xfId="13" applyFont="1" applyBorder="1"/>
    <xf numFmtId="0" fontId="6" fillId="0" borderId="127" xfId="16" applyFont="1" applyBorder="1"/>
    <xf numFmtId="0" fontId="9" fillId="0" borderId="129" xfId="16" applyFont="1" applyBorder="1"/>
    <xf numFmtId="0" fontId="9" fillId="0" borderId="171" xfId="16" applyFont="1" applyBorder="1"/>
    <xf numFmtId="0" fontId="22" fillId="32" borderId="205" xfId="0" applyFont="1" applyFill="1" applyBorder="1" applyAlignment="1">
      <alignment horizontal="center"/>
    </xf>
    <xf numFmtId="4" fontId="0" fillId="0" borderId="0" xfId="0" applyNumberFormat="1" applyFont="1" applyAlignment="1"/>
    <xf numFmtId="37" fontId="111" fillId="0" borderId="0" xfId="0" applyNumberFormat="1" applyFont="1" applyFill="1"/>
    <xf numFmtId="49" fontId="5" fillId="13" borderId="1" xfId="21" applyNumberFormat="1" applyFill="1" applyAlignment="1">
      <alignment horizontal="left" vertical="center"/>
    </xf>
    <xf numFmtId="0" fontId="5" fillId="13" borderId="1" xfId="21" applyFill="1"/>
    <xf numFmtId="182" fontId="5" fillId="13" borderId="1" xfId="21" applyNumberFormat="1" applyFill="1" applyAlignment="1">
      <alignment horizontal="right" vertical="center"/>
    </xf>
    <xf numFmtId="0" fontId="5" fillId="13" borderId="1" xfId="21" applyNumberFormat="1" applyFill="1" applyAlignment="1">
      <alignment horizontal="left" vertical="center"/>
    </xf>
    <xf numFmtId="0" fontId="59" fillId="22" borderId="104" xfId="0" applyFont="1" applyFill="1" applyBorder="1" applyAlignment="1">
      <alignment horizontal="center"/>
    </xf>
    <xf numFmtId="0" fontId="59" fillId="22" borderId="105" xfId="0" applyFont="1" applyFill="1" applyBorder="1" applyAlignment="1">
      <alignment horizontal="center"/>
    </xf>
    <xf numFmtId="0" fontId="59" fillId="22" borderId="106" xfId="0" applyFont="1" applyFill="1" applyBorder="1" applyAlignment="1">
      <alignment horizontal="center"/>
    </xf>
    <xf numFmtId="0" fontId="67" fillId="0" borderId="53" xfId="2" applyFont="1" applyBorder="1" applyAlignment="1">
      <alignment horizontal="center"/>
    </xf>
    <xf numFmtId="0" fontId="67" fillId="0" borderId="1" xfId="2" applyFont="1" applyAlignment="1">
      <alignment horizontal="center"/>
    </xf>
    <xf numFmtId="0" fontId="85" fillId="20" borderId="209" xfId="15" applyFont="1" applyFill="1" applyBorder="1" applyAlignment="1">
      <alignment horizontal="center" vertical="center" wrapText="1"/>
    </xf>
    <xf numFmtId="0" fontId="85" fillId="20" borderId="213" xfId="15" applyFont="1" applyFill="1" applyBorder="1" applyAlignment="1">
      <alignment horizontal="center" vertical="center" wrapText="1"/>
    </xf>
    <xf numFmtId="0" fontId="86" fillId="11" borderId="214" xfId="15" applyFont="1" applyFill="1" applyBorder="1" applyAlignment="1">
      <alignment horizontal="center" vertical="center" wrapText="1"/>
    </xf>
    <xf numFmtId="0" fontId="86" fillId="11" borderId="215" xfId="15" applyFont="1" applyFill="1" applyBorder="1" applyAlignment="1">
      <alignment horizontal="center" vertical="center" wrapText="1"/>
    </xf>
    <xf numFmtId="0" fontId="23" fillId="28" borderId="205" xfId="0" applyFont="1" applyFill="1" applyBorder="1" applyAlignment="1">
      <alignment horizontal="left" vertical="top" wrapText="1"/>
    </xf>
    <xf numFmtId="0" fontId="65" fillId="0" borderId="206" xfId="0" applyFont="1" applyBorder="1"/>
    <xf numFmtId="0" fontId="65" fillId="0" borderId="207" xfId="0" applyFont="1" applyBorder="1"/>
    <xf numFmtId="0" fontId="86" fillId="0" borderId="53" xfId="3" applyFont="1" applyBorder="1" applyAlignment="1">
      <alignment horizontal="center"/>
    </xf>
    <xf numFmtId="0" fontId="23" fillId="28" borderId="233" xfId="0" applyFont="1" applyFill="1" applyBorder="1" applyAlignment="1">
      <alignment horizontal="left" vertical="top" wrapText="1"/>
    </xf>
    <xf numFmtId="0" fontId="65" fillId="0" borderId="172" xfId="0" applyFont="1" applyBorder="1"/>
    <xf numFmtId="0" fontId="65" fillId="0" borderId="174" xfId="0" applyFont="1" applyBorder="1"/>
    <xf numFmtId="0" fontId="34" fillId="0" borderId="90" xfId="0" applyFont="1" applyBorder="1" applyAlignment="1">
      <alignment horizontal="center" vertical="center"/>
    </xf>
    <xf numFmtId="0" fontId="35" fillId="0" borderId="88" xfId="0" applyFont="1" applyBorder="1"/>
    <xf numFmtId="0" fontId="35" fillId="0" borderId="91" xfId="0" applyFont="1" applyBorder="1"/>
    <xf numFmtId="0" fontId="34" fillId="0" borderId="66" xfId="0" applyFont="1" applyBorder="1" applyAlignment="1">
      <alignment horizontal="center"/>
    </xf>
    <xf numFmtId="0" fontId="35" fillId="0" borderId="66" xfId="0" applyFont="1" applyBorder="1"/>
    <xf numFmtId="0" fontId="35" fillId="0" borderId="67" xfId="0" applyFont="1" applyBorder="1"/>
    <xf numFmtId="0" fontId="34" fillId="0" borderId="69" xfId="0" applyFont="1" applyBorder="1" applyAlignment="1">
      <alignment horizontal="center"/>
    </xf>
    <xf numFmtId="0" fontId="35" fillId="0" borderId="62" xfId="0" applyFont="1" applyBorder="1"/>
    <xf numFmtId="0" fontId="34" fillId="0" borderId="88" xfId="0" applyFont="1" applyBorder="1" applyAlignment="1">
      <alignment horizontal="center" vertical="center"/>
    </xf>
    <xf numFmtId="0" fontId="35" fillId="0" borderId="89" xfId="0" applyFont="1" applyBorder="1"/>
    <xf numFmtId="0" fontId="34" fillId="0" borderId="67" xfId="0" applyFont="1" applyBorder="1" applyAlignment="1">
      <alignment horizontal="center"/>
    </xf>
    <xf numFmtId="0" fontId="34" fillId="0" borderId="62" xfId="0" applyFont="1" applyBorder="1" applyAlignment="1">
      <alignment horizontal="center"/>
    </xf>
    <xf numFmtId="49" fontId="1" fillId="20" borderId="1" xfId="25" applyNumberFormat="1" applyFill="1" applyAlignment="1">
      <alignment horizontal="left" vertical="center"/>
    </xf>
    <xf numFmtId="0" fontId="1" fillId="20" borderId="1" xfId="25" applyFill="1"/>
    <xf numFmtId="182" fontId="1" fillId="20" borderId="1" xfId="25" applyNumberFormat="1" applyFill="1" applyAlignment="1">
      <alignment horizontal="right" vertical="center"/>
    </xf>
    <xf numFmtId="0" fontId="1" fillId="20" borderId="1" xfId="25" applyNumberFormat="1" applyFill="1" applyAlignment="1">
      <alignment horizontal="left" vertical="center"/>
    </xf>
  </cellXfs>
  <cellStyles count="26">
    <cellStyle name="Milliers" xfId="5" builtinId="3"/>
    <cellStyle name="Milliers 2" xfId="14"/>
    <cellStyle name="Monétaire" xfId="13" builtinId="4"/>
    <cellStyle name="Monétaire 2" xfId="17"/>
    <cellStyle name="Normal" xfId="0" builtinId="0"/>
    <cellStyle name="Normal 10" xfId="16"/>
    <cellStyle name="Normal 11" xfId="19"/>
    <cellStyle name="Normal 12" xfId="21"/>
    <cellStyle name="Normal 13" xfId="22"/>
    <cellStyle name="Normal 14" xfId="23"/>
    <cellStyle name="Normal 15" xfId="24"/>
    <cellStyle name="Normal 16" xfId="25"/>
    <cellStyle name="Normal 16 2" xfId="15"/>
    <cellStyle name="Normal 2" xfId="2"/>
    <cellStyle name="Normal 3" xfId="3"/>
    <cellStyle name="Normal 4" xfId="6"/>
    <cellStyle name="Normal 5" xfId="7"/>
    <cellStyle name="Normal 6" xfId="8"/>
    <cellStyle name="Normal 7" xfId="9"/>
    <cellStyle name="Normal 8" xfId="10"/>
    <cellStyle name="Normal 9" xfId="11"/>
    <cellStyle name="Normal 9 2" xfId="12"/>
    <cellStyle name="Pourcentage" xfId="1" builtinId="5"/>
    <cellStyle name="Pourcentage 2" xfId="4"/>
    <cellStyle name="Pourcentage 3" xfId="18"/>
    <cellStyle name="Pourcentage 4" xfId="20"/>
  </cellStyles>
  <dxfs count="706">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tableStyleElement type="headerRow" dxfId="705"/>
      <tableStyleElement type="firstRowStripe" dxfId="704"/>
      <tableStyleElement type="secondRowStripe" dxfId="703"/>
    </tableStyle>
    <tableStyle name="Data_Validation ex-style" pivot="0" count="3">
      <tableStyleElement type="headerRow" dxfId="702"/>
      <tableStyleElement type="firstRowStripe" dxfId="701"/>
      <tableStyleElement type="secondRowStripe" dxfId="700"/>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C20" sqref="C20"/>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1936</v>
      </c>
      <c r="C3" s="155">
        <f>+VLOOKUP(B3,$K$3:$L$14,2,0)</f>
        <v>10</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
      </c>
      <c r="N8" s="155" t="str">
        <f t="shared" si="1"/>
        <v>X</v>
      </c>
    </row>
    <row r="9" spans="1:14" ht="15" customHeight="1">
      <c r="A9" s="947" t="s">
        <v>2853</v>
      </c>
      <c r="K9" t="s">
        <v>1934</v>
      </c>
      <c r="L9" s="155">
        <v>7</v>
      </c>
      <c r="M9" s="155" t="str">
        <f t="shared" si="0"/>
        <v/>
      </c>
      <c r="N9" s="155" t="str">
        <f t="shared" si="1"/>
        <v>X</v>
      </c>
    </row>
    <row r="10" spans="1:14">
      <c r="A10" s="2" t="s">
        <v>2851</v>
      </c>
      <c r="I10" s="2"/>
      <c r="K10" t="s">
        <v>1935</v>
      </c>
      <c r="L10" s="155">
        <v>8</v>
      </c>
      <c r="M10" s="155" t="str">
        <f t="shared" si="0"/>
        <v/>
      </c>
      <c r="N10" s="155" t="str">
        <f t="shared" si="1"/>
        <v>X</v>
      </c>
    </row>
    <row r="11" spans="1:14">
      <c r="A11" s="2" t="s">
        <v>2852</v>
      </c>
      <c r="I11" s="2"/>
      <c r="K11" t="s">
        <v>3</v>
      </c>
      <c r="L11" s="155">
        <v>9</v>
      </c>
      <c r="M11" s="155" t="str">
        <f t="shared" si="0"/>
        <v/>
      </c>
      <c r="N11" s="155" t="str">
        <f t="shared" si="1"/>
        <v>X</v>
      </c>
    </row>
    <row r="12" spans="1:14">
      <c r="A12" s="2" t="s">
        <v>2850</v>
      </c>
      <c r="I12" s="2"/>
      <c r="K12" t="s">
        <v>1936</v>
      </c>
      <c r="L12" s="155">
        <v>10</v>
      </c>
      <c r="M12" s="155" t="str">
        <f t="shared" si="0"/>
        <v>X</v>
      </c>
      <c r="N12" s="155" t="str">
        <f t="shared" si="1"/>
        <v>X</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Octobre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0</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0</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0</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0</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0</v>
      </c>
      <c r="C10" s="533"/>
      <c r="D10" s="10" t="s">
        <v>16</v>
      </c>
      <c r="E10" s="554">
        <f>-SUMIFS(BV_Data_An_Cour!$Q:$Q,BV_Data_An_Cour!$V:$V,$A$1,BV_Data_An_Cour!$W:$W,$D10)</f>
        <v>0</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0</v>
      </c>
      <c r="C11" s="533"/>
      <c r="D11" s="10" t="s">
        <v>18</v>
      </c>
      <c r="E11" s="554">
        <f>-SUMIFS(BV_Data_An_Cour!$Q:$Q,BV_Data_An_Cour!$V:$V,$A$1,BV_Data_An_Cour!$W:$W,$D11)</f>
        <v>0</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0</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0</v>
      </c>
      <c r="C13" s="533"/>
      <c r="D13" s="10" t="s">
        <v>22</v>
      </c>
      <c r="E13" s="554">
        <f>-SUMIFS(BV_Data_An_Cour!$Q:$Q,BV_Data_An_Cour!$V:$V,$A$1,BV_Data_An_Cour!$W:$W,$D13)</f>
        <v>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0</v>
      </c>
      <c r="C14" s="533"/>
      <c r="D14" s="10" t="s">
        <v>24</v>
      </c>
      <c r="E14" s="554">
        <f>-SUMIFS(BV_Data_An_Cour!$Q:$Q,BV_Data_An_Cour!$V:$V,$A$1,BV_Data_An_Cour!$W:$W,$D14)</f>
        <v>0</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0</v>
      </c>
      <c r="C15" s="533"/>
      <c r="D15" s="10" t="s">
        <v>26</v>
      </c>
      <c r="E15" s="554">
        <f>-SUMIFS(BV_Data_An_Cour!$Q:$Q,BV_Data_An_Cour!$V:$V,$A$1,BV_Data_An_Cour!$W:$W,$D15)</f>
        <v>0</v>
      </c>
      <c r="F15" s="2"/>
      <c r="G15" s="2"/>
      <c r="H15" s="2"/>
      <c r="I15" s="2"/>
      <c r="J15" s="2"/>
      <c r="K15" s="2"/>
      <c r="L15" s="2"/>
      <c r="M15" s="2"/>
      <c r="N15" s="2"/>
      <c r="O15" s="2"/>
      <c r="P15" s="2"/>
      <c r="Q15" s="2"/>
      <c r="R15" s="2"/>
      <c r="S15" s="2"/>
      <c r="T15" s="2"/>
      <c r="U15" s="2"/>
      <c r="V15" s="2"/>
      <c r="W15" s="2"/>
      <c r="X15" s="2"/>
      <c r="Y15" s="2"/>
    </row>
    <row r="16" spans="1:25">
      <c r="A16" s="9" t="s">
        <v>27</v>
      </c>
      <c r="B16" s="557">
        <f>+SUM(B8:B15)</f>
        <v>0</v>
      </c>
      <c r="C16" s="534"/>
      <c r="D16" s="9" t="s">
        <v>28</v>
      </c>
      <c r="E16" s="560">
        <f>+SUM(E10:E15)</f>
        <v>0</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0</v>
      </c>
      <c r="C18" s="533"/>
      <c r="D18" s="10" t="s">
        <v>30</v>
      </c>
      <c r="E18" s="554">
        <f>-SUMIFS(BV_Data_An_Cour!$Q:$Q,BV_Data_An_Cour!$V:$V,$A$1,BV_Data_An_Cour!$W:$W,$D18)</f>
        <v>0</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0</v>
      </c>
      <c r="C19" s="533"/>
      <c r="D19" s="10" t="s">
        <v>32</v>
      </c>
      <c r="E19" s="554">
        <f>-SUMIFS(BV_Data_An_Cour!$Q:$Q,BV_Data_An_Cour!$V:$V,$A$1,BV_Data_An_Cour!$W:$W,$D19)</f>
        <v>0</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0</v>
      </c>
      <c r="C20" s="533"/>
      <c r="D20" s="9" t="s">
        <v>34</v>
      </c>
      <c r="E20" s="560">
        <f>+SUM(E18:E19)</f>
        <v>0</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0</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0</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0</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0</v>
      </c>
      <c r="C24" s="533"/>
      <c r="D24" s="10" t="s">
        <v>40</v>
      </c>
      <c r="E24" s="554">
        <f>-SUMIFS(BV_Data_An_Cour!$Q:$Q,BV_Data_An_Cour!$V:$V,$A$1,BV_Data_An_Cour!$W:$W,$D24)</f>
        <v>0</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0</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0</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0</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0</v>
      </c>
      <c r="C30" s="534"/>
      <c r="D30" s="12" t="s">
        <v>46</v>
      </c>
      <c r="E30" s="555">
        <f>+E5+E7+E16+E20+E28</f>
        <v>0</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0</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0</v>
      </c>
      <c r="C37" s="537"/>
      <c r="D37" s="10" t="s">
        <v>54</v>
      </c>
      <c r="E37" s="554">
        <f>-SUMIFS(BV_Data_An_Cour!$Q:$Q,BV_Data_An_Cour!$V:$V,$A$1,BV_Data_An_Cour!$W:$W,$D37)</f>
        <v>0</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0</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0</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0</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0</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0</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0</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0</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0</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0</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0</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0</v>
      </c>
      <c r="C53" s="535"/>
      <c r="D53" s="12" t="s">
        <v>72</v>
      </c>
      <c r="E53" s="555">
        <f>SUM(E48:E51)</f>
        <v>0</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0</v>
      </c>
      <c r="C56" s="535"/>
      <c r="D56" s="12" t="s">
        <v>74</v>
      </c>
      <c r="E56" s="555">
        <f>+E53+E45</f>
        <v>0</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5" t="str">
        <f>"Budget 2022 Mensuel Révisé"&amp;" "&amp;Parametres!$B$1</f>
        <v>Budget 2022 Mensuel Révisé Volks</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1405"/>
      <c r="AE1" s="1405"/>
      <c r="AF1" s="1405"/>
      <c r="AG1" s="1405"/>
      <c r="AH1" s="1405"/>
      <c r="AI1" s="1405"/>
      <c r="AJ1" s="1405"/>
      <c r="AK1" s="1405"/>
      <c r="AL1" s="1405"/>
      <c r="AM1" s="1405"/>
      <c r="AN1" s="1405"/>
      <c r="AO1" s="140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X</v>
      </c>
      <c r="AH2" s="610" t="str">
        <f>+IF(Parametres!$B$3=AG$6,"O","")</f>
        <v>O</v>
      </c>
      <c r="AI2" s="610" t="str">
        <f>+IF(Parametres!$B$3=AG$6,"U","")</f>
        <v>U</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X</v>
      </c>
      <c r="AE3" s="615" t="str">
        <f>+IF(VLOOKUP(AD$6,Parametres!$K$3:$N$14,4,0)="X","O","")</f>
        <v>O</v>
      </c>
      <c r="AF3" s="615" t="str">
        <f>+IF(VLOOKUP(AD$6,Parametres!$K$3:$N$14,4,0)="X","U","")</f>
        <v>U</v>
      </c>
      <c r="AG3" s="615" t="str">
        <f>+IF(VLOOKUP(AG$6,Parametres!$K$3:$N$14,4,0)="X","X","")</f>
        <v>X</v>
      </c>
      <c r="AH3" s="615" t="str">
        <f>+IF(VLOOKUP(AG$6,Parametres!$K$3:$N$14,4,0)="X","O","")</f>
        <v>O</v>
      </c>
      <c r="AI3" s="615" t="str">
        <f>+IF(VLOOKUP(AG$6,Parametres!$K$3:$N$14,4,0)="X","U","")</f>
        <v>U</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1092"/>
      <c r="B4" s="1092" t="s">
        <v>2957</v>
      </c>
      <c r="C4" s="1406" t="s">
        <v>75</v>
      </c>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c r="AD4" s="1406"/>
      <c r="AE4" s="1406"/>
      <c r="AF4" s="1406"/>
      <c r="AG4" s="1406"/>
      <c r="AH4" s="1406"/>
      <c r="AI4" s="1406"/>
      <c r="AJ4" s="1406"/>
      <c r="AK4" s="1406"/>
      <c r="AL4" s="1406"/>
      <c r="AM4" s="1406"/>
      <c r="AN4" s="1406"/>
      <c r="AO4" s="140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3" t="s">
        <v>1928</v>
      </c>
      <c r="C6" s="1402">
        <v>2022</v>
      </c>
      <c r="D6" s="1403"/>
      <c r="E6" s="1404"/>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3" t="s">
        <v>1928</v>
      </c>
      <c r="C94" s="1402">
        <v>2022</v>
      </c>
      <c r="D94" s="1403"/>
      <c r="E94" s="1404"/>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3" t="s">
        <v>1928</v>
      </c>
      <c r="C172" s="1402">
        <v>2022</v>
      </c>
      <c r="D172" s="1403"/>
      <c r="E172" s="1404"/>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3" t="s">
        <v>1928</v>
      </c>
      <c r="C240" s="1402">
        <v>2022</v>
      </c>
      <c r="D240" s="1403"/>
      <c r="E240" s="1404"/>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3" t="s">
        <v>1928</v>
      </c>
      <c r="C295" s="1402">
        <v>2022</v>
      </c>
      <c r="D295" s="1403"/>
      <c r="E295" s="1404"/>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3" t="s">
        <v>1928</v>
      </c>
      <c r="C360" s="1402">
        <v>2022</v>
      </c>
      <c r="D360" s="1403"/>
      <c r="E360" s="1404"/>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2">
        <v>2022</v>
      </c>
      <c r="D406" s="1403"/>
      <c r="E406" s="1404"/>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5" t="str">
        <f>"Budget 2022 Mensuel Révisé"&amp;" "&amp;Parametres!$B$1</f>
        <v>Budget 2022 Mensuel Révisé Volks</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1405"/>
      <c r="AE1" s="1405"/>
      <c r="AF1" s="1405"/>
      <c r="AG1" s="1405"/>
      <c r="AH1" s="1405"/>
      <c r="AI1" s="1405"/>
      <c r="AJ1" s="1405"/>
      <c r="AK1" s="1405"/>
      <c r="AL1" s="1405"/>
      <c r="AM1" s="1405"/>
      <c r="AN1" s="1405"/>
      <c r="AO1" s="140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X</v>
      </c>
      <c r="AH2" s="610" t="str">
        <f>+IF(Parametres!$B$3=AG$6,"O","")</f>
        <v>O</v>
      </c>
      <c r="AI2" s="610" t="str">
        <f>+IF(Parametres!$B$3=AG$6,"U","")</f>
        <v>U</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X</v>
      </c>
      <c r="AE3" s="615" t="str">
        <f>+IF(VLOOKUP(AD$6,Parametres!$K$3:$N$14,4,0)="X","O","")</f>
        <v>O</v>
      </c>
      <c r="AF3" s="615" t="str">
        <f>+IF(VLOOKUP(AD$6,Parametres!$K$3:$N$14,4,0)="X","U","")</f>
        <v>U</v>
      </c>
      <c r="AG3" s="615" t="str">
        <f>+IF(VLOOKUP(AG$6,Parametres!$K$3:$N$14,4,0)="X","X","")</f>
        <v>X</v>
      </c>
      <c r="AH3" s="615" t="str">
        <f>+IF(VLOOKUP(AG$6,Parametres!$K$3:$N$14,4,0)="X","O","")</f>
        <v>O</v>
      </c>
      <c r="AI3" s="615" t="str">
        <f>+IF(VLOOKUP(AG$6,Parametres!$K$3:$N$14,4,0)="X","U","")</f>
        <v>U</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580"/>
      <c r="B4" s="580" t="s">
        <v>2996</v>
      </c>
      <c r="C4" s="1406" t="s">
        <v>75</v>
      </c>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c r="AD4" s="1406"/>
      <c r="AE4" s="1406"/>
      <c r="AF4" s="1406"/>
      <c r="AG4" s="1406"/>
      <c r="AH4" s="1406"/>
      <c r="AI4" s="1406"/>
      <c r="AJ4" s="1406"/>
      <c r="AK4" s="1406"/>
      <c r="AL4" s="1406"/>
      <c r="AM4" s="1406"/>
      <c r="AN4" s="1406"/>
      <c r="AO4" s="140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402">
        <v>2022</v>
      </c>
      <c r="D6" s="1403"/>
      <c r="E6" s="1404"/>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402">
        <v>2022</v>
      </c>
      <c r="D94" s="1403"/>
      <c r="E94" s="1404"/>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402">
        <v>2022</v>
      </c>
      <c r="D172" s="1403"/>
      <c r="E172" s="1404"/>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402">
        <v>2022</v>
      </c>
      <c r="D240" s="1403"/>
      <c r="E240" s="1404"/>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402">
        <v>2022</v>
      </c>
      <c r="D295" s="1403"/>
      <c r="E295" s="1404"/>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402">
        <v>2022</v>
      </c>
      <c r="D360" s="1403"/>
      <c r="E360" s="1404"/>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2">
        <v>2022</v>
      </c>
      <c r="D406" s="1403"/>
      <c r="E406" s="1404"/>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4">
        <f>H500</f>
        <v>5569.9254160686269</v>
      </c>
      <c r="I502" s="588"/>
      <c r="J502" s="588"/>
      <c r="K502" s="1104">
        <f>K500+H502</f>
        <v>37745.930991065958</v>
      </c>
      <c r="L502" s="588"/>
      <c r="M502" s="588"/>
      <c r="N502" s="1104">
        <f>N500+K502</f>
        <v>206636.73319939498</v>
      </c>
      <c r="O502" s="588"/>
      <c r="P502" s="588"/>
      <c r="Q502" s="1104">
        <f>Q500+N502</f>
        <v>466870.19130935625</v>
      </c>
      <c r="R502" s="588"/>
      <c r="S502" s="588"/>
      <c r="T502" s="1104">
        <f>T500+Q502</f>
        <v>750070.03645626467</v>
      </c>
      <c r="U502" s="588"/>
      <c r="V502" s="588"/>
      <c r="W502" s="1104">
        <f>W500+T502</f>
        <v>982145.47288388794</v>
      </c>
      <c r="X502" s="588"/>
      <c r="Y502" s="588"/>
      <c r="Z502" s="1104">
        <f>Z500+W502</f>
        <v>1185212.4623125398</v>
      </c>
      <c r="AA502" s="588"/>
      <c r="AB502" s="588"/>
      <c r="AC502" s="1104">
        <f>AC500+Z502</f>
        <v>1405762.0635517905</v>
      </c>
      <c r="AD502" s="588"/>
      <c r="AE502" s="588"/>
      <c r="AF502" s="1104">
        <f>AF500+AC502</f>
        <v>1557582.270112636</v>
      </c>
      <c r="AG502" s="588"/>
      <c r="AH502" s="588"/>
      <c r="AI502" s="1104">
        <f>AI500+AF502</f>
        <v>1804520.1813273337</v>
      </c>
      <c r="AJ502" s="588"/>
      <c r="AK502" s="588"/>
      <c r="AL502" s="1104">
        <f>AL500+AI502</f>
        <v>2096012.065788103</v>
      </c>
      <c r="AM502" s="588"/>
      <c r="AN502" s="588"/>
      <c r="AO502" s="1104">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4"/>
  <sheetViews>
    <sheetView workbookViewId="0"/>
  </sheetViews>
  <sheetFormatPr baseColWidth="10" defaultColWidth="11" defaultRowHeight="15"/>
  <cols>
    <col min="1" max="1" width="11.625" style="1148" customWidth="1"/>
    <col min="2" max="2" width="12.375" style="1148" customWidth="1"/>
    <col min="3" max="3" width="27" style="1148" customWidth="1"/>
    <col min="4" max="4" width="22.75" style="1151" customWidth="1"/>
    <col min="5" max="5" width="13.625" style="1151" hidden="1" customWidth="1"/>
    <col min="6" max="7" width="13.625" style="1151" customWidth="1"/>
    <col min="8" max="19" width="10.5" style="1151" customWidth="1"/>
    <col min="20" max="20" width="37.875" style="1179" customWidth="1"/>
    <col min="21" max="16384" width="11" style="1148"/>
  </cols>
  <sheetData>
    <row r="1" spans="1:24" ht="31.5">
      <c r="A1" s="1147" t="s">
        <v>2958</v>
      </c>
      <c r="B1" s="1147"/>
      <c r="D1" s="1147"/>
      <c r="E1" s="1147"/>
      <c r="F1" s="1147"/>
      <c r="G1" s="1147"/>
      <c r="H1" s="1147"/>
      <c r="I1" s="1147"/>
      <c r="J1" s="1147"/>
      <c r="K1" s="1147"/>
      <c r="L1" s="1147"/>
      <c r="M1" s="1147"/>
      <c r="N1" s="1147"/>
      <c r="O1" s="1147"/>
      <c r="P1" s="1147"/>
      <c r="Q1" s="1147"/>
      <c r="R1" s="1147"/>
      <c r="S1" s="1147"/>
      <c r="T1" s="1147"/>
    </row>
    <row r="2" spans="1:24" ht="21">
      <c r="A2" s="1149" t="s">
        <v>3350</v>
      </c>
      <c r="B2" s="1149"/>
      <c r="D2" s="1149"/>
      <c r="E2" s="1149"/>
      <c r="F2" s="1149"/>
      <c r="G2" s="1149"/>
      <c r="H2" s="1150">
        <v>1</v>
      </c>
      <c r="I2" s="1150">
        <v>2</v>
      </c>
      <c r="J2" s="1150">
        <v>3</v>
      </c>
      <c r="K2" s="1150">
        <v>4</v>
      </c>
      <c r="L2" s="1150">
        <v>5</v>
      </c>
      <c r="M2" s="1150">
        <v>6</v>
      </c>
      <c r="N2" s="1150">
        <v>7</v>
      </c>
      <c r="O2" s="1150">
        <v>8</v>
      </c>
      <c r="P2" s="1150">
        <v>9</v>
      </c>
      <c r="Q2" s="1150">
        <v>10</v>
      </c>
      <c r="R2" s="1150">
        <v>11</v>
      </c>
      <c r="S2" s="1150">
        <v>12</v>
      </c>
      <c r="T2" s="1149"/>
    </row>
    <row r="3" spans="1:24" ht="15.75" thickBot="1">
      <c r="H3" s="1152" t="str">
        <f>+IF(VLOOKUP(H2,Parametres!$L$3:$N$14,3,0)="X","REEL","FORECAST")</f>
        <v>REEL</v>
      </c>
      <c r="I3" s="1152" t="str">
        <f>+IF(VLOOKUP(I2,Parametres!$L$3:$N$14,3,0)="X","REEL","FORECAST")</f>
        <v>REEL</v>
      </c>
      <c r="J3" s="1152" t="str">
        <f>+IF(VLOOKUP(J2,Parametres!$L$3:$N$14,3,0)="X","REEL","FORECAST")</f>
        <v>REEL</v>
      </c>
      <c r="K3" s="1152" t="str">
        <f>+IF(VLOOKUP(K2,Parametres!$L$3:$N$14,3,0)="X","REEL","FORECAST")</f>
        <v>REEL</v>
      </c>
      <c r="L3" s="1152" t="str">
        <f>+IF(VLOOKUP(L2,Parametres!$L$3:$N$14,3,0)="X","REEL","FORECAST")</f>
        <v>REEL</v>
      </c>
      <c r="M3" s="1152" t="str">
        <f>+IF(VLOOKUP(M2,Parametres!$L$3:$N$14,3,0)="X","REEL","FORECAST")</f>
        <v>REEL</v>
      </c>
      <c r="N3" s="1152" t="str">
        <f>+IF(VLOOKUP(N2,Parametres!$L$3:$N$14,3,0)="X","REEL","FORECAST")</f>
        <v>REEL</v>
      </c>
      <c r="O3" s="1152" t="str">
        <f>+IF(VLOOKUP(O2,Parametres!$L$3:$N$14,3,0)="X","REEL","FORECAST")</f>
        <v>REEL</v>
      </c>
      <c r="P3" s="1152" t="str">
        <f>+IF(VLOOKUP(P2,Parametres!$L$3:$N$14,3,0)="X","REEL","FORECAST")</f>
        <v>REEL</v>
      </c>
      <c r="Q3" s="1152" t="str">
        <f>+IF(VLOOKUP(Q2,Parametres!$L$3:$N$14,3,0)="X","REEL","FORECAST")</f>
        <v>REEL</v>
      </c>
      <c r="R3" s="1152" t="str">
        <f>+IF(VLOOKUP(R2,Parametres!$L$3:$N$14,3,0)="X","REEL","FORECAST")</f>
        <v>FORECAST</v>
      </c>
      <c r="S3" s="1152" t="str">
        <f>+IF(VLOOKUP(S2,Parametres!$L$3:$N$14,3,0)="X","REEL","FORECAST")</f>
        <v>FORECAST</v>
      </c>
      <c r="T3" s="1148"/>
    </row>
    <row r="4" spans="1:24" s="1157" customFormat="1" ht="30" customHeight="1" thickBot="1">
      <c r="A4" s="1407" t="s">
        <v>2959</v>
      </c>
      <c r="B4" s="1407" t="s">
        <v>2960</v>
      </c>
      <c r="C4" s="1153" t="s">
        <v>2961</v>
      </c>
      <c r="D4" s="1154" t="s">
        <v>2962</v>
      </c>
      <c r="E4" s="1155" t="s">
        <v>2963</v>
      </c>
      <c r="F4" s="1153" t="s">
        <v>2964</v>
      </c>
      <c r="G4" s="1153" t="s">
        <v>2965</v>
      </c>
      <c r="H4" s="1155" t="s">
        <v>2966</v>
      </c>
      <c r="I4" s="1153" t="s">
        <v>2967</v>
      </c>
      <c r="J4" s="1153" t="s">
        <v>2968</v>
      </c>
      <c r="K4" s="1153" t="s">
        <v>2969</v>
      </c>
      <c r="L4" s="1153" t="s">
        <v>2970</v>
      </c>
      <c r="M4" s="1153" t="s">
        <v>2971</v>
      </c>
      <c r="N4" s="1153" t="s">
        <v>2972</v>
      </c>
      <c r="O4" s="1153" t="s">
        <v>2973</v>
      </c>
      <c r="P4" s="1153" t="s">
        <v>2974</v>
      </c>
      <c r="Q4" s="1153" t="s">
        <v>2975</v>
      </c>
      <c r="R4" s="1153" t="s">
        <v>2976</v>
      </c>
      <c r="S4" s="1153" t="s">
        <v>2977</v>
      </c>
      <c r="T4" s="1156" t="s">
        <v>2978</v>
      </c>
    </row>
    <row r="5" spans="1:24" ht="30" customHeight="1" thickBot="1">
      <c r="A5" s="1408"/>
      <c r="B5" s="1408"/>
      <c r="C5" s="1409" t="s">
        <v>2979</v>
      </c>
      <c r="D5" s="1410"/>
      <c r="E5" s="1158">
        <f t="shared" ref="E5:S5" si="0">+SUM(E6:E21)</f>
        <v>56200</v>
      </c>
      <c r="F5" s="1159">
        <f t="shared" si="0"/>
        <v>56200</v>
      </c>
      <c r="G5" s="1160">
        <f t="shared" si="0"/>
        <v>0</v>
      </c>
      <c r="H5" s="1161">
        <f t="shared" si="0"/>
        <v>0</v>
      </c>
      <c r="I5" s="1162">
        <f t="shared" si="0"/>
        <v>1500</v>
      </c>
      <c r="J5" s="1162">
        <f t="shared" si="0"/>
        <v>0</v>
      </c>
      <c r="K5" s="1162">
        <f t="shared" si="0"/>
        <v>15100</v>
      </c>
      <c r="L5" s="1162">
        <f t="shared" si="0"/>
        <v>0</v>
      </c>
      <c r="M5" s="1162">
        <f t="shared" si="0"/>
        <v>22200</v>
      </c>
      <c r="N5" s="1162">
        <f t="shared" si="0"/>
        <v>0</v>
      </c>
      <c r="O5" s="1162">
        <f t="shared" si="0"/>
        <v>0</v>
      </c>
      <c r="P5" s="1162">
        <f t="shared" si="0"/>
        <v>9200</v>
      </c>
      <c r="Q5" s="1162">
        <f t="shared" si="0"/>
        <v>0</v>
      </c>
      <c r="R5" s="1162">
        <f t="shared" si="0"/>
        <v>0</v>
      </c>
      <c r="S5" s="1162">
        <f t="shared" si="0"/>
        <v>8200</v>
      </c>
      <c r="T5" s="1163"/>
      <c r="X5" s="1157" t="s">
        <v>49</v>
      </c>
    </row>
    <row r="6" spans="1:24" ht="30" customHeight="1">
      <c r="A6" s="1164" t="str">
        <f>+Parametres!$B$1</f>
        <v>Volks</v>
      </c>
      <c r="B6" s="1165" t="s">
        <v>2849</v>
      </c>
      <c r="C6" s="1244" t="s">
        <v>2986</v>
      </c>
      <c r="D6" s="1246" t="s">
        <v>124</v>
      </c>
      <c r="E6" s="1167">
        <f>+SUM(H6:S6)</f>
        <v>3000</v>
      </c>
      <c r="F6" s="1167">
        <v>3000</v>
      </c>
      <c r="G6" s="1167">
        <f>+E6-F6</f>
        <v>0</v>
      </c>
      <c r="H6" s="1168"/>
      <c r="I6" s="1167"/>
      <c r="K6" s="1167">
        <v>1000</v>
      </c>
      <c r="L6" s="1167"/>
      <c r="M6" s="1167">
        <v>1000</v>
      </c>
      <c r="N6" s="1167"/>
      <c r="O6" s="1167"/>
      <c r="P6" s="1167">
        <v>1000</v>
      </c>
      <c r="Q6" s="1167"/>
      <c r="R6" s="1167"/>
      <c r="S6" s="1167"/>
      <c r="T6" s="1169" t="s">
        <v>2992</v>
      </c>
      <c r="X6" s="1148" t="s">
        <v>51</v>
      </c>
    </row>
    <row r="7" spans="1:24" ht="30" customHeight="1">
      <c r="A7" s="1169" t="str">
        <f>+Parametres!$B$1</f>
        <v>Volks</v>
      </c>
      <c r="B7" s="1170" t="s">
        <v>2849</v>
      </c>
      <c r="C7" s="1245" t="s">
        <v>57</v>
      </c>
      <c r="D7" s="1246" t="s">
        <v>2983</v>
      </c>
      <c r="E7" s="1168">
        <f t="shared" ref="E7:E21" si="1">+SUM(H7:S7)</f>
        <v>5000</v>
      </c>
      <c r="F7" s="1167">
        <v>5000</v>
      </c>
      <c r="G7" s="1167">
        <f t="shared" ref="G7:G21" si="2">+E7-F7</f>
        <v>0</v>
      </c>
      <c r="H7" s="1168"/>
      <c r="I7" s="1167"/>
      <c r="K7" s="1167">
        <f>$F$7/4</f>
        <v>1250</v>
      </c>
      <c r="L7" s="1167"/>
      <c r="M7" s="1167">
        <f>$F$7/4</f>
        <v>1250</v>
      </c>
      <c r="N7" s="1167"/>
      <c r="O7" s="1167"/>
      <c r="P7" s="1167">
        <f>$F$7/4</f>
        <v>1250</v>
      </c>
      <c r="Q7" s="1167"/>
      <c r="R7" s="1167"/>
      <c r="S7" s="1167">
        <f>$F$7/4</f>
        <v>1250</v>
      </c>
      <c r="T7" s="1169" t="s">
        <v>2993</v>
      </c>
      <c r="X7" s="1148" t="s">
        <v>53</v>
      </c>
    </row>
    <row r="8" spans="1:24" ht="55.5" customHeight="1">
      <c r="A8" s="1169" t="str">
        <f>+Parametres!$B$1</f>
        <v>Volks</v>
      </c>
      <c r="B8" s="1170" t="s">
        <v>2849</v>
      </c>
      <c r="C8" s="1245" t="s">
        <v>53</v>
      </c>
      <c r="D8" s="1246" t="s">
        <v>2984</v>
      </c>
      <c r="E8" s="1168">
        <f t="shared" si="1"/>
        <v>5000</v>
      </c>
      <c r="F8" s="1167">
        <v>5000</v>
      </c>
      <c r="G8" s="1167">
        <f t="shared" si="2"/>
        <v>0</v>
      </c>
      <c r="H8" s="1168"/>
      <c r="I8" s="1167"/>
      <c r="K8" s="1167">
        <f>$F$8/4</f>
        <v>1250</v>
      </c>
      <c r="L8" s="1167"/>
      <c r="M8" s="1167">
        <f>$F$8/4</f>
        <v>1250</v>
      </c>
      <c r="N8" s="1167"/>
      <c r="O8" s="1167"/>
      <c r="P8" s="1167">
        <f>$F$8/4</f>
        <v>1250</v>
      </c>
      <c r="Q8" s="1167"/>
      <c r="R8" s="1167"/>
      <c r="S8" s="1167">
        <f>$F$8/4</f>
        <v>1250</v>
      </c>
      <c r="T8" s="1169" t="s">
        <v>2994</v>
      </c>
      <c r="X8" s="1148" t="s">
        <v>55</v>
      </c>
    </row>
    <row r="9" spans="1:24" ht="30" customHeight="1">
      <c r="A9" s="1169" t="str">
        <f>+Parametres!$B$1</f>
        <v>Volks</v>
      </c>
      <c r="B9" s="1170" t="s">
        <v>2849</v>
      </c>
      <c r="C9" s="1245" t="s">
        <v>2988</v>
      </c>
      <c r="D9" s="1246" t="s">
        <v>2989</v>
      </c>
      <c r="E9" s="1168">
        <f t="shared" si="1"/>
        <v>3000</v>
      </c>
      <c r="F9" s="1167">
        <v>3000</v>
      </c>
      <c r="G9" s="1167">
        <f t="shared" si="2"/>
        <v>0</v>
      </c>
      <c r="H9" s="1168"/>
      <c r="I9" s="1167"/>
      <c r="J9" s="1167"/>
      <c r="K9" s="1167"/>
      <c r="L9" s="1167"/>
      <c r="M9" s="1167">
        <v>3000</v>
      </c>
      <c r="N9" s="1167"/>
      <c r="O9" s="1167"/>
      <c r="P9" s="1167"/>
      <c r="Q9" s="1167"/>
      <c r="R9" s="1167"/>
      <c r="S9" s="1167"/>
      <c r="T9" s="1169" t="s">
        <v>2994</v>
      </c>
      <c r="X9" s="1148" t="s">
        <v>58</v>
      </c>
    </row>
    <row r="10" spans="1:24" ht="30" customHeight="1">
      <c r="A10" s="1169" t="str">
        <f>+Parametres!$B$1</f>
        <v>Volks</v>
      </c>
      <c r="B10" s="1170" t="s">
        <v>2849</v>
      </c>
      <c r="C10" s="1245" t="s">
        <v>2987</v>
      </c>
      <c r="D10" s="1246" t="s">
        <v>2983</v>
      </c>
      <c r="E10" s="1168">
        <f t="shared" si="1"/>
        <v>10000</v>
      </c>
      <c r="F10" s="1167">
        <v>10000</v>
      </c>
      <c r="G10" s="1167">
        <f t="shared" si="2"/>
        <v>0</v>
      </c>
      <c r="H10" s="1168"/>
      <c r="I10" s="1167"/>
      <c r="J10" s="1167"/>
      <c r="K10" s="1167"/>
      <c r="L10" s="1167"/>
      <c r="M10" s="1167">
        <v>10000</v>
      </c>
      <c r="N10" s="1167"/>
      <c r="O10" s="1167"/>
      <c r="P10" s="1167"/>
      <c r="Q10" s="1167"/>
      <c r="R10" s="1167"/>
      <c r="S10" s="1167"/>
      <c r="T10" s="1169" t="s">
        <v>2995</v>
      </c>
      <c r="X10" s="1148" t="s">
        <v>59</v>
      </c>
    </row>
    <row r="11" spans="1:24" ht="30" customHeight="1">
      <c r="A11" s="1169" t="str">
        <f>+Parametres!$B$1</f>
        <v>Volks</v>
      </c>
      <c r="B11" s="1170" t="s">
        <v>2849</v>
      </c>
      <c r="C11" s="1245" t="s">
        <v>2985</v>
      </c>
      <c r="D11" s="1246" t="s">
        <v>2983</v>
      </c>
      <c r="E11" s="1168">
        <f t="shared" si="1"/>
        <v>900</v>
      </c>
      <c r="F11" s="1167">
        <v>900</v>
      </c>
      <c r="G11" s="1167">
        <f t="shared" si="2"/>
        <v>0</v>
      </c>
      <c r="H11" s="1168"/>
      <c r="I11" s="1167"/>
      <c r="K11" s="1167">
        <v>900</v>
      </c>
      <c r="L11" s="1167"/>
      <c r="M11" s="1167"/>
      <c r="N11" s="1167"/>
      <c r="O11" s="1167"/>
      <c r="P11" s="1167"/>
      <c r="Q11" s="1167"/>
      <c r="R11" s="1167"/>
      <c r="S11" s="1167"/>
      <c r="T11" s="1169"/>
      <c r="X11" s="1148" t="s">
        <v>60</v>
      </c>
    </row>
    <row r="12" spans="1:24" ht="30" customHeight="1">
      <c r="A12" s="1169" t="str">
        <f>+Parametres!$B$1</f>
        <v>Volks</v>
      </c>
      <c r="B12" s="1170" t="s">
        <v>2849</v>
      </c>
      <c r="C12" s="1245" t="s">
        <v>2982</v>
      </c>
      <c r="D12" s="1246" t="s">
        <v>2983</v>
      </c>
      <c r="E12" s="1168">
        <f t="shared" si="1"/>
        <v>22800</v>
      </c>
      <c r="F12" s="1167">
        <v>22800</v>
      </c>
      <c r="G12" s="1167">
        <f t="shared" si="2"/>
        <v>0</v>
      </c>
      <c r="H12" s="1168"/>
      <c r="I12" s="1167"/>
      <c r="K12" s="1167">
        <f>$F$12/4</f>
        <v>5700</v>
      </c>
      <c r="L12" s="1167"/>
      <c r="M12" s="1167">
        <f>$F$12/4</f>
        <v>5700</v>
      </c>
      <c r="N12" s="1167"/>
      <c r="O12" s="1167"/>
      <c r="P12" s="1167">
        <f>$F$12/4</f>
        <v>5700</v>
      </c>
      <c r="Q12" s="1167"/>
      <c r="R12" s="1167"/>
      <c r="S12" s="1167">
        <f>$F$12/4</f>
        <v>5700</v>
      </c>
      <c r="T12" s="1169"/>
      <c r="X12" s="1148" t="s">
        <v>62</v>
      </c>
    </row>
    <row r="13" spans="1:24" ht="30" customHeight="1">
      <c r="A13" s="1169" t="str">
        <f>+Parametres!$B$1</f>
        <v>Volks</v>
      </c>
      <c r="B13" s="1170" t="s">
        <v>2849</v>
      </c>
      <c r="C13" s="1245" t="s">
        <v>2991</v>
      </c>
      <c r="D13" s="1246" t="s">
        <v>2983</v>
      </c>
      <c r="E13" s="1168">
        <f t="shared" si="1"/>
        <v>2000</v>
      </c>
      <c r="F13" s="1167">
        <v>2000</v>
      </c>
      <c r="G13" s="1167">
        <f t="shared" si="2"/>
        <v>0</v>
      </c>
      <c r="H13" s="1168"/>
      <c r="I13" s="1167"/>
      <c r="K13" s="1167">
        <v>2000</v>
      </c>
      <c r="L13" s="1167"/>
      <c r="M13" s="1167"/>
      <c r="N13" s="1167"/>
      <c r="O13" s="1167"/>
      <c r="P13" s="1167"/>
      <c r="Q13" s="1167"/>
      <c r="R13" s="1167"/>
      <c r="S13" s="1167"/>
      <c r="T13" s="1169"/>
    </row>
    <row r="14" spans="1:24" ht="30" customHeight="1">
      <c r="A14" s="1169" t="str">
        <f>+Parametres!$B$1</f>
        <v>Volks</v>
      </c>
      <c r="B14" s="1170" t="s">
        <v>2849</v>
      </c>
      <c r="C14" s="1245" t="s">
        <v>2990</v>
      </c>
      <c r="D14" s="1246" t="s">
        <v>2983</v>
      </c>
      <c r="E14" s="1168">
        <f t="shared" si="1"/>
        <v>3000</v>
      </c>
      <c r="F14" s="1167">
        <v>3000</v>
      </c>
      <c r="G14" s="1167">
        <f t="shared" si="2"/>
        <v>0</v>
      </c>
      <c r="H14" s="1168"/>
      <c r="I14" s="1167"/>
      <c r="J14" s="1167"/>
      <c r="K14" s="1167">
        <v>3000</v>
      </c>
      <c r="L14" s="1167"/>
      <c r="M14" s="1167"/>
      <c r="N14" s="1167"/>
      <c r="O14" s="1167"/>
      <c r="P14" s="1167"/>
      <c r="Q14" s="1167"/>
      <c r="R14" s="1167"/>
      <c r="S14" s="1167"/>
      <c r="T14" s="1169"/>
    </row>
    <row r="15" spans="1:24" ht="30" customHeight="1">
      <c r="A15" s="1169" t="str">
        <f>+Parametres!$B$1</f>
        <v>Volks</v>
      </c>
      <c r="B15" s="1170" t="s">
        <v>2980</v>
      </c>
      <c r="C15" s="1245" t="s">
        <v>2981</v>
      </c>
      <c r="D15" s="1246" t="s">
        <v>124</v>
      </c>
      <c r="E15" s="1168">
        <f t="shared" si="1"/>
        <v>1500</v>
      </c>
      <c r="F15" s="1167">
        <v>1500</v>
      </c>
      <c r="G15" s="1167">
        <f t="shared" si="2"/>
        <v>0</v>
      </c>
      <c r="H15" s="1168"/>
      <c r="I15" s="1167">
        <v>1500</v>
      </c>
      <c r="J15" s="1167"/>
      <c r="K15" s="1167"/>
      <c r="L15" s="1167"/>
      <c r="M15" s="1167"/>
      <c r="N15" s="1167"/>
      <c r="O15" s="1167"/>
      <c r="P15" s="1167"/>
      <c r="Q15" s="1167"/>
      <c r="R15" s="1167"/>
      <c r="S15" s="1167"/>
      <c r="T15" s="1169"/>
    </row>
    <row r="16" spans="1:24" ht="30" customHeight="1">
      <c r="A16" s="1169" t="str">
        <f>+Parametres!$B$1</f>
        <v>Volks</v>
      </c>
      <c r="B16" s="1170" t="s">
        <v>2980</v>
      </c>
      <c r="C16" s="1245"/>
      <c r="D16" s="1166"/>
      <c r="E16" s="1168">
        <f t="shared" si="1"/>
        <v>0</v>
      </c>
      <c r="F16" s="1167"/>
      <c r="G16" s="1167">
        <f t="shared" si="2"/>
        <v>0</v>
      </c>
      <c r="H16" s="1168"/>
      <c r="I16" s="1167"/>
      <c r="J16" s="1167"/>
      <c r="K16" s="1167"/>
      <c r="L16" s="1167"/>
      <c r="M16" s="1167"/>
      <c r="N16" s="1167"/>
      <c r="O16" s="1167"/>
      <c r="P16" s="1167"/>
      <c r="Q16" s="1167"/>
      <c r="R16" s="1167"/>
      <c r="S16" s="1167"/>
      <c r="T16" s="1169"/>
    </row>
    <row r="17" spans="1:24" ht="30" customHeight="1">
      <c r="A17" s="1169" t="str">
        <f>+Parametres!$B$1</f>
        <v>Volks</v>
      </c>
      <c r="B17" s="1170" t="s">
        <v>2980</v>
      </c>
      <c r="C17" s="1245"/>
      <c r="D17" s="1166"/>
      <c r="E17" s="1168">
        <f t="shared" si="1"/>
        <v>0</v>
      </c>
      <c r="F17" s="1167"/>
      <c r="G17" s="1167">
        <f t="shared" si="2"/>
        <v>0</v>
      </c>
      <c r="H17" s="1168"/>
      <c r="I17" s="1167"/>
      <c r="J17" s="1167"/>
      <c r="K17" s="1167"/>
      <c r="L17" s="1167"/>
      <c r="M17" s="1167"/>
      <c r="N17" s="1167"/>
      <c r="O17" s="1167"/>
      <c r="P17" s="1167"/>
      <c r="Q17" s="1167"/>
      <c r="R17" s="1167"/>
      <c r="S17" s="1167"/>
      <c r="T17" s="1169"/>
    </row>
    <row r="18" spans="1:24" ht="30" customHeight="1">
      <c r="A18" s="1169" t="str">
        <f>+Parametres!$B$1</f>
        <v>Volks</v>
      </c>
      <c r="B18" s="1170" t="s">
        <v>2980</v>
      </c>
      <c r="C18" s="1171"/>
      <c r="D18" s="1166"/>
      <c r="E18" s="1168">
        <f t="shared" si="1"/>
        <v>0</v>
      </c>
      <c r="F18" s="1167"/>
      <c r="G18" s="1167">
        <f t="shared" si="2"/>
        <v>0</v>
      </c>
      <c r="H18" s="1168"/>
      <c r="I18" s="1167"/>
      <c r="J18" s="1167"/>
      <c r="K18" s="1167"/>
      <c r="L18" s="1167"/>
      <c r="M18" s="1167"/>
      <c r="N18" s="1167"/>
      <c r="O18" s="1167"/>
      <c r="P18" s="1167"/>
      <c r="Q18" s="1167"/>
      <c r="R18" s="1167"/>
      <c r="S18" s="1167"/>
      <c r="T18" s="1169"/>
      <c r="X18" s="1148" t="s">
        <v>2980</v>
      </c>
    </row>
    <row r="19" spans="1:24" ht="30" customHeight="1">
      <c r="A19" s="1169" t="str">
        <f>+Parametres!$B$1</f>
        <v>Volks</v>
      </c>
      <c r="B19" s="1170" t="s">
        <v>2980</v>
      </c>
      <c r="C19" s="1171"/>
      <c r="D19" s="1166"/>
      <c r="E19" s="1168">
        <f t="shared" si="1"/>
        <v>0</v>
      </c>
      <c r="F19" s="1167"/>
      <c r="G19" s="1167">
        <f t="shared" si="2"/>
        <v>0</v>
      </c>
      <c r="H19" s="1168"/>
      <c r="I19" s="1167"/>
      <c r="J19" s="1167"/>
      <c r="K19" s="1167"/>
      <c r="L19" s="1167"/>
      <c r="M19" s="1167"/>
      <c r="N19" s="1167"/>
      <c r="O19" s="1167"/>
      <c r="P19" s="1167"/>
      <c r="Q19" s="1167"/>
      <c r="R19" s="1167"/>
      <c r="S19" s="1167"/>
      <c r="T19" s="1169"/>
    </row>
    <row r="20" spans="1:24" ht="30" customHeight="1">
      <c r="A20" s="1169" t="str">
        <f>+Parametres!$B$1</f>
        <v>Volks</v>
      </c>
      <c r="B20" s="1170" t="s">
        <v>2980</v>
      </c>
      <c r="C20" s="1171"/>
      <c r="D20" s="1166"/>
      <c r="E20" s="1168">
        <f t="shared" si="1"/>
        <v>0</v>
      </c>
      <c r="F20" s="1167"/>
      <c r="G20" s="1167">
        <f t="shared" si="2"/>
        <v>0</v>
      </c>
      <c r="H20" s="1168"/>
      <c r="I20" s="1167"/>
      <c r="J20" s="1167"/>
      <c r="K20" s="1167"/>
      <c r="L20" s="1167"/>
      <c r="M20" s="1167"/>
      <c r="N20" s="1167"/>
      <c r="O20" s="1167"/>
      <c r="P20" s="1167"/>
      <c r="Q20" s="1167"/>
      <c r="R20" s="1167"/>
      <c r="S20" s="1167"/>
      <c r="T20" s="1169"/>
    </row>
    <row r="21" spans="1:24" ht="30" customHeight="1" thickBot="1">
      <c r="A21" s="1172" t="str">
        <f>+Parametres!$B$1</f>
        <v>Volks</v>
      </c>
      <c r="B21" s="1173" t="s">
        <v>2980</v>
      </c>
      <c r="C21" s="1174"/>
      <c r="D21" s="1175"/>
      <c r="E21" s="1176">
        <f t="shared" si="1"/>
        <v>0</v>
      </c>
      <c r="F21" s="1177"/>
      <c r="G21" s="1177">
        <f t="shared" si="2"/>
        <v>0</v>
      </c>
      <c r="H21" s="1176"/>
      <c r="I21" s="1177"/>
      <c r="J21" s="1177"/>
      <c r="K21" s="1177"/>
      <c r="L21" s="1177"/>
      <c r="M21" s="1177"/>
      <c r="N21" s="1177"/>
      <c r="O21" s="1177"/>
      <c r="P21" s="1177"/>
      <c r="Q21" s="1177"/>
      <c r="R21" s="1177"/>
      <c r="S21" s="1177"/>
      <c r="T21" s="1172"/>
    </row>
    <row r="23" spans="1:24" ht="30" customHeight="1">
      <c r="C23" s="1178"/>
      <c r="D23" s="1178"/>
    </row>
    <row r="24" spans="1:24" ht="30" customHeight="1">
      <c r="C24" s="1151"/>
    </row>
  </sheetData>
  <mergeCells count="3">
    <mergeCell ref="A4:A5"/>
    <mergeCell ref="B4:B5"/>
    <mergeCell ref="C5:D5"/>
  </mergeCells>
  <dataValidations count="3">
    <dataValidation type="list" allowBlank="1" showInputMessage="1" showErrorMessage="1" sqref="X5:X17 D6:D21">
      <formula1>$X$5:$X$13</formula1>
    </dataValidation>
    <dataValidation type="list" allowBlank="1" showInputMessage="1" showErrorMessage="1" sqref="X18 B6:B21">
      <formula1>$X$18:$X$18</formula1>
    </dataValidation>
    <dataValidation type="list" allowBlank="1" showInputMessage="1" showErrorMessage="1" sqref="AB4 AB6:AB19">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11"/>
  <sheetViews>
    <sheetView workbookViewId="0">
      <selection activeCell="M2" sqref="M2"/>
    </sheetView>
  </sheetViews>
  <sheetFormatPr baseColWidth="10" defaultColWidth="11" defaultRowHeight="14.25"/>
  <cols>
    <col min="1" max="2" width="11" style="1220"/>
    <col min="3" max="3" width="13.875" style="1220" bestFit="1" customWidth="1"/>
    <col min="4" max="4" width="23.625" style="1220" bestFit="1" customWidth="1"/>
    <col min="5" max="5" width="11.25" style="1221" customWidth="1"/>
    <col min="6" max="6" width="13.375" style="1221" bestFit="1" customWidth="1"/>
    <col min="7" max="7" width="21.125" style="1220" bestFit="1" customWidth="1"/>
    <col min="8" max="8" width="11.625" style="1220" customWidth="1"/>
    <col min="9" max="11" width="11" style="1098"/>
    <col min="12" max="12" width="12.375" style="1098" bestFit="1" customWidth="1"/>
    <col min="13" max="13" width="11" style="1098"/>
    <col min="14" max="16384" width="11" style="1097"/>
  </cols>
  <sheetData>
    <row r="1" spans="1:13" ht="15">
      <c r="A1" s="1210" t="s">
        <v>2904</v>
      </c>
      <c r="B1" s="1210" t="s">
        <v>5</v>
      </c>
      <c r="C1" s="1210" t="s">
        <v>2912</v>
      </c>
      <c r="D1" s="1210" t="s">
        <v>2913</v>
      </c>
      <c r="E1" s="1211" t="s">
        <v>2905</v>
      </c>
      <c r="F1" s="1211" t="s">
        <v>2906</v>
      </c>
      <c r="G1" s="1210" t="s">
        <v>2907</v>
      </c>
      <c r="H1" s="1212" t="s">
        <v>2908</v>
      </c>
      <c r="L1" s="1099" t="s">
        <v>2905</v>
      </c>
      <c r="M1" s="1099" t="s">
        <v>2906</v>
      </c>
    </row>
    <row r="2" spans="1:13" ht="15">
      <c r="A2" s="1222">
        <v>211014</v>
      </c>
      <c r="B2" s="1222" t="s">
        <v>2926</v>
      </c>
      <c r="C2" s="1223" t="s">
        <v>3352</v>
      </c>
      <c r="D2" s="1222" t="s">
        <v>2900</v>
      </c>
      <c r="E2" s="1224">
        <v>51942.11</v>
      </c>
      <c r="F2" s="1224">
        <v>-40263.300000000003</v>
      </c>
      <c r="G2" s="1222" t="s">
        <v>2920</v>
      </c>
      <c r="H2" s="1225">
        <v>250</v>
      </c>
      <c r="K2" s="1099" t="s">
        <v>2909</v>
      </c>
      <c r="L2" s="1100">
        <f>+SUM(E2:E10000)</f>
        <v>1188579.01</v>
      </c>
      <c r="M2" s="1101">
        <f>+SUM(F2:F10000)</f>
        <v>-1232044.1899999997</v>
      </c>
    </row>
    <row r="3" spans="1:13">
      <c r="A3" s="1222">
        <v>220159</v>
      </c>
      <c r="B3" s="1222" t="s">
        <v>2927</v>
      </c>
      <c r="C3" s="1223" t="s">
        <v>3352</v>
      </c>
      <c r="D3" s="1222" t="s">
        <v>2900</v>
      </c>
      <c r="E3" s="1224">
        <v>47746.5</v>
      </c>
      <c r="F3" s="1224">
        <v>-45047.55</v>
      </c>
      <c r="G3" s="1222" t="s">
        <v>2998</v>
      </c>
      <c r="H3" s="1225">
        <v>146</v>
      </c>
      <c r="K3" s="1123" t="s">
        <v>2949</v>
      </c>
      <c r="L3" s="1098">
        <f>COUNT(E:E)</f>
        <v>29</v>
      </c>
    </row>
    <row r="4" spans="1:13">
      <c r="A4" s="1222">
        <v>220189</v>
      </c>
      <c r="B4" s="1222" t="s">
        <v>2927</v>
      </c>
      <c r="C4" s="1223" t="s">
        <v>3352</v>
      </c>
      <c r="D4" s="1222" t="s">
        <v>2895</v>
      </c>
      <c r="E4" s="1224">
        <v>31066.27</v>
      </c>
      <c r="F4" s="1224">
        <v>-31255.35</v>
      </c>
      <c r="G4" s="1222" t="s">
        <v>2997</v>
      </c>
      <c r="H4" s="1225">
        <v>133</v>
      </c>
    </row>
    <row r="5" spans="1:13">
      <c r="A5" s="1222">
        <v>220221</v>
      </c>
      <c r="B5" s="1222" t="s">
        <v>2927</v>
      </c>
      <c r="C5" s="1223" t="s">
        <v>3352</v>
      </c>
      <c r="D5" s="1222" t="s">
        <v>2901</v>
      </c>
      <c r="E5" s="1224">
        <v>40977.51</v>
      </c>
      <c r="F5" s="1224">
        <v>-41407.800000000003</v>
      </c>
      <c r="G5" s="1222" t="s">
        <v>3255</v>
      </c>
      <c r="H5" s="1225">
        <v>120</v>
      </c>
    </row>
    <row r="6" spans="1:13">
      <c r="A6" s="1222">
        <v>220229</v>
      </c>
      <c r="B6" s="1222" t="s">
        <v>2927</v>
      </c>
      <c r="C6" s="1223" t="s">
        <v>3352</v>
      </c>
      <c r="D6" s="1222" t="s">
        <v>2901</v>
      </c>
      <c r="E6" s="1224">
        <v>39676.65</v>
      </c>
      <c r="F6" s="1224">
        <v>-36187.4</v>
      </c>
      <c r="G6" s="1222" t="s">
        <v>3254</v>
      </c>
      <c r="H6" s="1225">
        <v>113</v>
      </c>
    </row>
    <row r="7" spans="1:13">
      <c r="A7" s="1222">
        <v>220232</v>
      </c>
      <c r="B7" s="1222" t="s">
        <v>2927</v>
      </c>
      <c r="C7" s="1223" t="s">
        <v>3352</v>
      </c>
      <c r="D7" s="1222" t="s">
        <v>2901</v>
      </c>
      <c r="E7" s="1224">
        <v>41060.19</v>
      </c>
      <c r="F7" s="1224">
        <v>-41213.550000000003</v>
      </c>
      <c r="G7" s="1222" t="s">
        <v>3253</v>
      </c>
      <c r="H7" s="1225">
        <v>104</v>
      </c>
    </row>
    <row r="8" spans="1:13">
      <c r="A8" s="1222">
        <v>220249</v>
      </c>
      <c r="B8" s="1222" t="s">
        <v>2927</v>
      </c>
      <c r="C8" s="1223" t="s">
        <v>3352</v>
      </c>
      <c r="D8" s="1222" t="s">
        <v>2919</v>
      </c>
      <c r="E8" s="1224">
        <v>27411.8</v>
      </c>
      <c r="F8" s="1224">
        <v>-28653.45</v>
      </c>
      <c r="G8" s="1222" t="s">
        <v>3271</v>
      </c>
      <c r="H8" s="1225">
        <v>70</v>
      </c>
    </row>
    <row r="9" spans="1:13">
      <c r="A9" s="1222">
        <v>220271</v>
      </c>
      <c r="B9" s="1222" t="s">
        <v>2927</v>
      </c>
      <c r="C9" s="1223" t="s">
        <v>3352</v>
      </c>
      <c r="D9" s="1222" t="s">
        <v>2900</v>
      </c>
      <c r="E9" s="1224">
        <v>46928.480000000003</v>
      </c>
      <c r="F9" s="1224">
        <v>-52835.79</v>
      </c>
      <c r="G9" s="1222" t="s">
        <v>3270</v>
      </c>
      <c r="H9" s="1225">
        <v>63</v>
      </c>
    </row>
    <row r="10" spans="1:13">
      <c r="A10" s="1222">
        <v>220303</v>
      </c>
      <c r="B10" s="1222" t="s">
        <v>2927</v>
      </c>
      <c r="C10" s="1223" t="s">
        <v>3352</v>
      </c>
      <c r="D10" s="1222" t="s">
        <v>3437</v>
      </c>
      <c r="E10" s="1224">
        <v>32826</v>
      </c>
      <c r="F10" s="1224">
        <v>-34950.300000000003</v>
      </c>
      <c r="G10" s="1222" t="s">
        <v>3438</v>
      </c>
      <c r="H10" s="1225">
        <v>20</v>
      </c>
    </row>
    <row r="11" spans="1:13">
      <c r="A11" s="1222">
        <v>220313</v>
      </c>
      <c r="B11" s="1222" t="s">
        <v>2927</v>
      </c>
      <c r="C11" s="1223" t="s">
        <v>3352</v>
      </c>
      <c r="D11" s="1222" t="s">
        <v>2895</v>
      </c>
      <c r="E11" s="1224">
        <v>36922</v>
      </c>
      <c r="F11" s="1224">
        <v>-39356.1</v>
      </c>
      <c r="G11" s="1222" t="s">
        <v>3439</v>
      </c>
      <c r="H11" s="1225">
        <v>1</v>
      </c>
    </row>
    <row r="12" spans="1:13">
      <c r="A12" s="1222">
        <v>220330</v>
      </c>
      <c r="B12" s="1222" t="s">
        <v>2927</v>
      </c>
      <c r="C12" s="1223" t="s">
        <v>3352</v>
      </c>
      <c r="D12" s="1222" t="s">
        <v>2900</v>
      </c>
      <c r="E12" s="1224">
        <v>54287</v>
      </c>
      <c r="F12" s="1224">
        <v>-57589.35</v>
      </c>
      <c r="G12" s="1222" t="s">
        <v>3440</v>
      </c>
      <c r="H12" s="1225">
        <v>20</v>
      </c>
    </row>
    <row r="13" spans="1:13">
      <c r="A13" s="1222">
        <v>220347</v>
      </c>
      <c r="B13" s="1222" t="s">
        <v>2927</v>
      </c>
      <c r="C13" s="1223" t="s">
        <v>3352</v>
      </c>
      <c r="D13" s="1222" t="s">
        <v>2895</v>
      </c>
      <c r="E13" s="1224">
        <v>33327</v>
      </c>
      <c r="F13" s="1224">
        <v>-35581.35</v>
      </c>
      <c r="G13" s="1222" t="s">
        <v>3441</v>
      </c>
      <c r="H13" s="1225">
        <v>6</v>
      </c>
    </row>
    <row r="14" spans="1:13">
      <c r="A14" s="1222">
        <v>220349</v>
      </c>
      <c r="B14" s="1222" t="s">
        <v>2927</v>
      </c>
      <c r="C14" s="1223" t="s">
        <v>3352</v>
      </c>
      <c r="D14" s="1222" t="s">
        <v>2900</v>
      </c>
      <c r="E14" s="1224">
        <v>51112.5</v>
      </c>
      <c r="F14" s="1224">
        <v>-53295.9</v>
      </c>
      <c r="G14" s="1222" t="s">
        <v>3442</v>
      </c>
      <c r="H14" s="1225">
        <v>8</v>
      </c>
    </row>
    <row r="15" spans="1:13">
      <c r="A15" s="1222">
        <v>220351</v>
      </c>
      <c r="B15" s="1222" t="s">
        <v>2927</v>
      </c>
      <c r="C15" s="1223" t="s">
        <v>3352</v>
      </c>
      <c r="D15" s="1222" t="s">
        <v>2901</v>
      </c>
      <c r="E15" s="1224">
        <v>39331</v>
      </c>
      <c r="F15" s="1224">
        <v>-41885.550000000003</v>
      </c>
      <c r="G15" s="1222" t="s">
        <v>3443</v>
      </c>
      <c r="H15" s="1225">
        <v>8</v>
      </c>
    </row>
    <row r="16" spans="1:13">
      <c r="A16" s="1222">
        <v>220353</v>
      </c>
      <c r="B16" s="1222" t="s">
        <v>2927</v>
      </c>
      <c r="C16" s="1223" t="s">
        <v>3352</v>
      </c>
      <c r="D16" s="1222" t="s">
        <v>2900</v>
      </c>
      <c r="E16" s="1224">
        <v>53099</v>
      </c>
      <c r="F16" s="1224">
        <v>-55591.199999999997</v>
      </c>
      <c r="G16" s="1222" t="s">
        <v>3444</v>
      </c>
      <c r="H16" s="1225">
        <v>8</v>
      </c>
    </row>
    <row r="17" spans="1:8">
      <c r="A17" s="1222">
        <v>220354</v>
      </c>
      <c r="B17" s="1222" t="s">
        <v>2927</v>
      </c>
      <c r="C17" s="1223" t="s">
        <v>3352</v>
      </c>
      <c r="D17" s="1222" t="s">
        <v>2900</v>
      </c>
      <c r="E17" s="1224">
        <v>51204</v>
      </c>
      <c r="F17" s="1224">
        <v>-54352.2</v>
      </c>
      <c r="G17" s="1222" t="s">
        <v>3445</v>
      </c>
      <c r="H17" s="1225">
        <v>6</v>
      </c>
    </row>
    <row r="18" spans="1:8">
      <c r="A18" s="1222">
        <v>220355</v>
      </c>
      <c r="B18" s="1222" t="s">
        <v>2927</v>
      </c>
      <c r="C18" s="1223" t="s">
        <v>3352</v>
      </c>
      <c r="D18" s="1222" t="s">
        <v>2901</v>
      </c>
      <c r="E18" s="1224">
        <v>39331</v>
      </c>
      <c r="F18" s="1224">
        <v>-41885.550000000003</v>
      </c>
      <c r="G18" s="1222" t="s">
        <v>3446</v>
      </c>
      <c r="H18" s="1225">
        <v>6</v>
      </c>
    </row>
    <row r="19" spans="1:8">
      <c r="A19" s="1222">
        <v>220356</v>
      </c>
      <c r="B19" s="1222" t="s">
        <v>2927</v>
      </c>
      <c r="C19" s="1223" t="s">
        <v>3352</v>
      </c>
      <c r="D19" s="1222" t="s">
        <v>2900</v>
      </c>
      <c r="E19" s="1224">
        <v>54287</v>
      </c>
      <c r="F19" s="1224">
        <v>-57589.35</v>
      </c>
      <c r="G19" s="1222" t="s">
        <v>3447</v>
      </c>
      <c r="H19" s="1225">
        <v>5</v>
      </c>
    </row>
    <row r="20" spans="1:8">
      <c r="A20" s="1222">
        <v>220358</v>
      </c>
      <c r="B20" s="1222" t="s">
        <v>2927</v>
      </c>
      <c r="C20" s="1223" t="s">
        <v>3352</v>
      </c>
      <c r="D20" s="1222" t="s">
        <v>2900</v>
      </c>
      <c r="E20" s="1224">
        <v>53292</v>
      </c>
      <c r="F20" s="1224">
        <v>-56544.6</v>
      </c>
      <c r="G20" s="1222" t="s">
        <v>3448</v>
      </c>
      <c r="H20" s="1225">
        <v>4</v>
      </c>
    </row>
    <row r="21" spans="1:8">
      <c r="A21" s="1222">
        <v>220359</v>
      </c>
      <c r="B21" s="1222" t="s">
        <v>2927</v>
      </c>
      <c r="C21" s="1223" t="s">
        <v>3352</v>
      </c>
      <c r="D21" s="1222" t="s">
        <v>2919</v>
      </c>
      <c r="E21" s="1224">
        <v>27380</v>
      </c>
      <c r="F21" s="1224">
        <v>-29232</v>
      </c>
      <c r="G21" s="1222" t="s">
        <v>3449</v>
      </c>
      <c r="H21" s="1225">
        <v>4</v>
      </c>
    </row>
    <row r="22" spans="1:8">
      <c r="A22" s="1222">
        <v>220360</v>
      </c>
      <c r="B22" s="1222" t="s">
        <v>2927</v>
      </c>
      <c r="C22" s="1223" t="s">
        <v>3352</v>
      </c>
      <c r="D22" s="1222" t="s">
        <v>2901</v>
      </c>
      <c r="E22" s="1224">
        <v>38044</v>
      </c>
      <c r="F22" s="1224">
        <v>-40534.199999999997</v>
      </c>
      <c r="G22" s="1222" t="s">
        <v>3450</v>
      </c>
      <c r="H22" s="1225">
        <v>4</v>
      </c>
    </row>
    <row r="23" spans="1:8">
      <c r="A23" s="1222">
        <v>220361</v>
      </c>
      <c r="B23" s="1222" t="s">
        <v>2927</v>
      </c>
      <c r="C23" s="1223" t="s">
        <v>3352</v>
      </c>
      <c r="D23" s="1222" t="s">
        <v>2901</v>
      </c>
      <c r="E23" s="1224">
        <v>41954</v>
      </c>
      <c r="F23" s="1224">
        <v>-44639.7</v>
      </c>
      <c r="G23" s="1222" t="s">
        <v>3451</v>
      </c>
      <c r="H23" s="1225">
        <v>1</v>
      </c>
    </row>
    <row r="24" spans="1:8">
      <c r="A24" s="1222">
        <v>220362</v>
      </c>
      <c r="B24" s="1222" t="s">
        <v>2927</v>
      </c>
      <c r="C24" s="1223" t="s">
        <v>3352</v>
      </c>
      <c r="D24" s="1222" t="s">
        <v>2901</v>
      </c>
      <c r="E24" s="1224">
        <v>39154</v>
      </c>
      <c r="F24" s="1224">
        <v>-41699.699999999997</v>
      </c>
      <c r="G24" s="1222" t="s">
        <v>3452</v>
      </c>
      <c r="H24" s="1225">
        <v>0</v>
      </c>
    </row>
    <row r="25" spans="1:8">
      <c r="A25" s="1222">
        <v>220363</v>
      </c>
      <c r="B25" s="1222" t="s">
        <v>2927</v>
      </c>
      <c r="C25" s="1223" t="s">
        <v>3352</v>
      </c>
      <c r="D25" s="1222" t="s">
        <v>2895</v>
      </c>
      <c r="E25" s="1224">
        <v>33327</v>
      </c>
      <c r="F25" s="1224">
        <v>-35581.35</v>
      </c>
      <c r="G25" s="1222" t="s">
        <v>3453</v>
      </c>
      <c r="H25" s="1225">
        <v>0</v>
      </c>
    </row>
    <row r="26" spans="1:8">
      <c r="A26" s="1222">
        <v>220364</v>
      </c>
      <c r="B26" s="1222" t="s">
        <v>2927</v>
      </c>
      <c r="C26" s="1223" t="s">
        <v>3352</v>
      </c>
      <c r="D26" s="1222" t="s">
        <v>2901</v>
      </c>
      <c r="E26" s="1224">
        <v>39154</v>
      </c>
      <c r="F26" s="1224">
        <v>-41699.699999999997</v>
      </c>
      <c r="G26" s="1222" t="s">
        <v>3454</v>
      </c>
      <c r="H26" s="1225">
        <v>0</v>
      </c>
    </row>
    <row r="27" spans="1:8">
      <c r="A27" s="1222">
        <v>220365</v>
      </c>
      <c r="B27" s="1222" t="s">
        <v>2927</v>
      </c>
      <c r="C27" s="1223" t="s">
        <v>3352</v>
      </c>
      <c r="D27" s="1222" t="s">
        <v>2895</v>
      </c>
      <c r="E27" s="1224">
        <v>36464</v>
      </c>
      <c r="F27" s="1224">
        <v>-38875.199999999997</v>
      </c>
      <c r="G27" s="1222" t="s">
        <v>3455</v>
      </c>
      <c r="H27" s="1225">
        <v>0</v>
      </c>
    </row>
    <row r="28" spans="1:8">
      <c r="A28" s="1222">
        <v>220366</v>
      </c>
      <c r="B28" s="1222" t="s">
        <v>2927</v>
      </c>
      <c r="C28" s="1223" t="s">
        <v>3352</v>
      </c>
      <c r="D28" s="1222" t="s">
        <v>2901</v>
      </c>
      <c r="E28" s="1224">
        <v>41954</v>
      </c>
      <c r="F28" s="1224">
        <v>-44639.7</v>
      </c>
      <c r="G28" s="1222" t="s">
        <v>3456</v>
      </c>
      <c r="H28" s="1225">
        <v>0</v>
      </c>
    </row>
    <row r="29" spans="1:8">
      <c r="A29" s="1222">
        <v>220367</v>
      </c>
      <c r="B29" s="1222" t="s">
        <v>2927</v>
      </c>
      <c r="C29" s="1223" t="s">
        <v>3352</v>
      </c>
      <c r="D29" s="1222" t="s">
        <v>2900</v>
      </c>
      <c r="E29" s="1224">
        <v>40617</v>
      </c>
      <c r="F29" s="1224">
        <v>-43235.85</v>
      </c>
      <c r="G29" s="1222" t="s">
        <v>3457</v>
      </c>
      <c r="H29" s="1225">
        <v>0</v>
      </c>
    </row>
    <row r="30" spans="1:8">
      <c r="A30" s="1222">
        <v>220368</v>
      </c>
      <c r="B30" s="1222" t="s">
        <v>2927</v>
      </c>
      <c r="C30" s="1223" t="s">
        <v>3352</v>
      </c>
      <c r="D30" s="1222" t="s">
        <v>2919</v>
      </c>
      <c r="E30" s="1224">
        <v>24703</v>
      </c>
      <c r="F30" s="1224">
        <v>-26421.15</v>
      </c>
      <c r="G30" s="1222" t="s">
        <v>3458</v>
      </c>
      <c r="H30" s="1225">
        <v>0</v>
      </c>
    </row>
    <row r="31" spans="1:8">
      <c r="A31" s="1222"/>
      <c r="B31" s="1222"/>
      <c r="C31" s="1223"/>
      <c r="D31" s="1222"/>
      <c r="E31" s="1224"/>
      <c r="F31" s="1224"/>
      <c r="G31" s="1222"/>
      <c r="H31" s="1225"/>
    </row>
    <row r="32" spans="1:8">
      <c r="A32" s="1222"/>
      <c r="B32" s="1222"/>
      <c r="C32" s="1223"/>
      <c r="D32" s="1222"/>
      <c r="E32" s="1224"/>
      <c r="F32" s="1224"/>
      <c r="G32" s="1222"/>
      <c r="H32" s="1225"/>
    </row>
    <row r="33" spans="1:8">
      <c r="A33" s="1222"/>
      <c r="B33" s="1222"/>
      <c r="C33" s="1223"/>
      <c r="D33" s="1222"/>
      <c r="E33" s="1224"/>
      <c r="F33" s="1224"/>
      <c r="G33" s="1222"/>
      <c r="H33" s="1225"/>
    </row>
    <row r="34" spans="1:8">
      <c r="A34" s="1222"/>
      <c r="B34" s="1222"/>
      <c r="C34" s="1223"/>
      <c r="D34" s="1222"/>
      <c r="E34" s="1224"/>
      <c r="F34" s="1224"/>
      <c r="G34" s="1222"/>
      <c r="H34" s="1225"/>
    </row>
    <row r="35" spans="1:8">
      <c r="A35" s="1222"/>
      <c r="B35" s="1222"/>
      <c r="C35" s="1223"/>
      <c r="D35" s="1222"/>
      <c r="E35" s="1224"/>
      <c r="F35" s="1224"/>
      <c r="G35" s="1222"/>
      <c r="H35" s="1225"/>
    </row>
    <row r="36" spans="1:8">
      <c r="A36" s="1222"/>
      <c r="B36" s="1222"/>
      <c r="C36" s="1223"/>
      <c r="D36" s="1222"/>
      <c r="E36" s="1224"/>
      <c r="F36" s="1224"/>
      <c r="G36" s="1222"/>
      <c r="H36" s="1225"/>
    </row>
    <row r="37" spans="1:8">
      <c r="A37" s="1222"/>
      <c r="B37" s="1222"/>
      <c r="C37" s="1223"/>
      <c r="D37" s="1222"/>
      <c r="E37" s="1224"/>
      <c r="F37" s="1224"/>
      <c r="G37" s="1222"/>
      <c r="H37" s="1225"/>
    </row>
    <row r="38" spans="1:8">
      <c r="A38" s="1222"/>
      <c r="B38" s="1222"/>
      <c r="C38" s="1223"/>
      <c r="D38" s="1222"/>
      <c r="E38" s="1224"/>
      <c r="F38" s="1224"/>
      <c r="G38" s="1222"/>
      <c r="H38" s="1225"/>
    </row>
    <row r="39" spans="1:8">
      <c r="A39" s="1222"/>
      <c r="B39" s="1222"/>
      <c r="C39" s="1223"/>
      <c r="D39" s="1222"/>
      <c r="E39" s="1224"/>
      <c r="F39" s="1224"/>
      <c r="G39" s="1222"/>
      <c r="H39" s="1225"/>
    </row>
    <row r="40" spans="1:8">
      <c r="A40" s="1222"/>
      <c r="B40" s="1222"/>
      <c r="C40" s="1223"/>
      <c r="D40" s="1222"/>
      <c r="E40" s="1224"/>
      <c r="F40" s="1224"/>
      <c r="G40" s="1222"/>
      <c r="H40" s="1225"/>
    </row>
    <row r="41" spans="1:8">
      <c r="A41" s="1222"/>
      <c r="B41" s="1222"/>
      <c r="C41" s="1223"/>
      <c r="D41" s="1222"/>
      <c r="E41" s="1224"/>
      <c r="F41" s="1224"/>
      <c r="G41" s="1222"/>
      <c r="H41" s="1225"/>
    </row>
    <row r="42" spans="1:8">
      <c r="A42" s="1222"/>
      <c r="B42" s="1222"/>
      <c r="C42" s="1223"/>
      <c r="D42" s="1222"/>
      <c r="E42" s="1224"/>
      <c r="F42" s="1224"/>
      <c r="G42" s="1222"/>
      <c r="H42" s="1225"/>
    </row>
    <row r="43" spans="1:8">
      <c r="A43" s="1222"/>
      <c r="B43" s="1222"/>
      <c r="C43" s="1223"/>
      <c r="D43" s="1222"/>
      <c r="E43" s="1224"/>
      <c r="F43" s="1224"/>
      <c r="G43" s="1222"/>
      <c r="H43" s="1225"/>
    </row>
    <row r="44" spans="1:8">
      <c r="A44" s="1222"/>
      <c r="B44" s="1222"/>
      <c r="C44" s="1223"/>
      <c r="D44" s="1222"/>
      <c r="E44" s="1224"/>
      <c r="F44" s="1224"/>
      <c r="G44" s="1222"/>
      <c r="H44" s="1225"/>
    </row>
    <row r="45" spans="1:8">
      <c r="A45" s="1222"/>
      <c r="B45" s="1222"/>
      <c r="C45" s="1223"/>
      <c r="D45" s="1222"/>
      <c r="E45" s="1224"/>
      <c r="F45" s="1224"/>
      <c r="G45" s="1222"/>
      <c r="H45" s="1225"/>
    </row>
    <row r="46" spans="1:8">
      <c r="A46" s="1222"/>
      <c r="B46" s="1222"/>
      <c r="C46" s="1223"/>
      <c r="D46" s="1222"/>
      <c r="E46" s="1224"/>
      <c r="F46" s="1224"/>
      <c r="G46" s="1222"/>
      <c r="H46" s="1225"/>
    </row>
    <row r="47" spans="1:8">
      <c r="A47" s="1222"/>
      <c r="B47" s="1222"/>
      <c r="C47" s="1223"/>
      <c r="D47" s="1222"/>
      <c r="E47" s="1224"/>
      <c r="F47" s="1224"/>
      <c r="G47" s="1222"/>
      <c r="H47" s="1225"/>
    </row>
    <row r="48" spans="1:8">
      <c r="A48" s="1222"/>
      <c r="B48" s="1222"/>
      <c r="C48" s="1223"/>
      <c r="D48" s="1222"/>
      <c r="E48" s="1224"/>
      <c r="F48" s="1224"/>
      <c r="G48" s="1222"/>
      <c r="H48" s="1225"/>
    </row>
    <row r="49" spans="1:8">
      <c r="A49" s="1222"/>
      <c r="B49" s="1222"/>
      <c r="C49" s="1223"/>
      <c r="D49" s="1222"/>
      <c r="E49" s="1224"/>
      <c r="F49" s="1224"/>
      <c r="G49" s="1222"/>
      <c r="H49" s="1225"/>
    </row>
    <row r="50" spans="1:8">
      <c r="A50" s="1222"/>
      <c r="B50" s="1222"/>
      <c r="C50" s="1223"/>
      <c r="D50" s="1222"/>
      <c r="E50" s="1224"/>
      <c r="F50" s="1224"/>
      <c r="G50" s="1222"/>
      <c r="H50" s="1225"/>
    </row>
    <row r="51" spans="1:8">
      <c r="A51" s="1222"/>
      <c r="B51" s="1222"/>
      <c r="C51" s="1223"/>
      <c r="D51" s="1222"/>
      <c r="E51" s="1224"/>
      <c r="F51" s="1224"/>
      <c r="G51" s="1222"/>
      <c r="H51" s="1225"/>
    </row>
    <row r="52" spans="1:8">
      <c r="A52" s="1222"/>
      <c r="B52" s="1222"/>
      <c r="C52" s="1223"/>
      <c r="D52" s="1222"/>
      <c r="E52" s="1224"/>
      <c r="F52" s="1224"/>
      <c r="G52" s="1222"/>
      <c r="H52" s="1225"/>
    </row>
    <row r="53" spans="1:8">
      <c r="A53" s="1222"/>
      <c r="B53" s="1222"/>
      <c r="C53" s="1223"/>
      <c r="D53" s="1222"/>
      <c r="E53" s="1224"/>
      <c r="F53" s="1224"/>
      <c r="G53" s="1222"/>
      <c r="H53" s="1225"/>
    </row>
    <row r="54" spans="1:8">
      <c r="A54" s="1222"/>
      <c r="B54" s="1222"/>
      <c r="C54" s="1223"/>
      <c r="D54" s="1222"/>
      <c r="E54" s="1224"/>
      <c r="F54" s="1224"/>
      <c r="G54" s="1222"/>
      <c r="H54" s="1225"/>
    </row>
    <row r="55" spans="1:8">
      <c r="A55" s="1222"/>
      <c r="B55" s="1222"/>
      <c r="C55" s="1223"/>
      <c r="D55" s="1222"/>
      <c r="E55" s="1224"/>
      <c r="F55" s="1224"/>
      <c r="G55" s="1222"/>
      <c r="H55" s="1225"/>
    </row>
    <row r="56" spans="1:8">
      <c r="A56" s="1222"/>
      <c r="B56" s="1222"/>
      <c r="C56" s="1223"/>
      <c r="D56" s="1222"/>
      <c r="E56" s="1224"/>
      <c r="F56" s="1224"/>
      <c r="G56" s="1222"/>
      <c r="H56" s="1225"/>
    </row>
    <row r="57" spans="1:8">
      <c r="A57" s="1222"/>
      <c r="B57" s="1222"/>
      <c r="C57" s="1223"/>
      <c r="D57" s="1222"/>
      <c r="E57" s="1224"/>
      <c r="F57" s="1224"/>
      <c r="G57" s="1222"/>
      <c r="H57" s="1225"/>
    </row>
    <row r="58" spans="1:8">
      <c r="A58" s="1222"/>
      <c r="B58" s="1222"/>
      <c r="C58" s="1223"/>
      <c r="D58" s="1222"/>
      <c r="E58" s="1224"/>
      <c r="F58" s="1224"/>
      <c r="G58" s="1222"/>
      <c r="H58" s="1225"/>
    </row>
    <row r="59" spans="1:8">
      <c r="A59" s="1222"/>
      <c r="B59" s="1222"/>
      <c r="C59" s="1223"/>
      <c r="D59" s="1222"/>
      <c r="E59" s="1224"/>
      <c r="F59" s="1224"/>
      <c r="G59" s="1222"/>
      <c r="H59" s="1225"/>
    </row>
    <row r="60" spans="1:8">
      <c r="A60" s="1222"/>
      <c r="B60" s="1222"/>
      <c r="C60" s="1223"/>
      <c r="D60" s="1222"/>
      <c r="E60" s="1224"/>
      <c r="F60" s="1224"/>
      <c r="G60" s="1222"/>
      <c r="H60" s="1225"/>
    </row>
    <row r="61" spans="1:8">
      <c r="A61" s="1222"/>
      <c r="B61" s="1222"/>
      <c r="C61" s="1223"/>
      <c r="D61" s="1222"/>
      <c r="E61" s="1224"/>
      <c r="F61" s="1224"/>
      <c r="G61" s="1222"/>
      <c r="H61" s="1225"/>
    </row>
    <row r="62" spans="1:8">
      <c r="A62" s="1222"/>
      <c r="B62" s="1222"/>
      <c r="C62" s="1223"/>
      <c r="D62" s="1222"/>
      <c r="E62" s="1224"/>
      <c r="F62" s="1224"/>
      <c r="G62" s="1222"/>
      <c r="H62" s="1225"/>
    </row>
    <row r="63" spans="1:8">
      <c r="A63" s="1222"/>
      <c r="B63" s="1222"/>
      <c r="C63" s="1223"/>
      <c r="D63" s="1222"/>
      <c r="E63" s="1224"/>
      <c r="F63" s="1224"/>
      <c r="G63" s="1222"/>
      <c r="H63" s="1225"/>
    </row>
    <row r="64" spans="1:8">
      <c r="A64" s="1222"/>
      <c r="B64" s="1222"/>
      <c r="C64" s="1223"/>
      <c r="D64" s="1222"/>
      <c r="E64" s="1224"/>
      <c r="F64" s="1224"/>
      <c r="G64" s="1222"/>
      <c r="H64" s="1225"/>
    </row>
    <row r="65" spans="1:8">
      <c r="A65" s="1222"/>
      <c r="B65" s="1222"/>
      <c r="C65" s="1223"/>
      <c r="D65" s="1222"/>
      <c r="E65" s="1224"/>
      <c r="F65" s="1224"/>
      <c r="G65" s="1222"/>
      <c r="H65" s="1225"/>
    </row>
    <row r="66" spans="1:8">
      <c r="B66" s="1222"/>
      <c r="C66" s="1223"/>
    </row>
    <row r="67" spans="1:8">
      <c r="B67" s="1222"/>
      <c r="C67" s="1223"/>
    </row>
    <row r="68" spans="1:8">
      <c r="B68" s="1222"/>
      <c r="C68" s="1223"/>
    </row>
    <row r="69" spans="1:8">
      <c r="B69" s="1222"/>
      <c r="C69" s="1223"/>
    </row>
    <row r="70" spans="1:8">
      <c r="B70" s="1222"/>
      <c r="C70" s="1223"/>
    </row>
    <row r="71" spans="1:8">
      <c r="B71" s="1222"/>
      <c r="C71" s="1223"/>
    </row>
    <row r="72" spans="1:8">
      <c r="B72" s="1222"/>
      <c r="C72" s="1223"/>
    </row>
    <row r="73" spans="1:8">
      <c r="B73" s="1222"/>
      <c r="C73" s="1223"/>
    </row>
    <row r="74" spans="1:8">
      <c r="B74" s="1222"/>
      <c r="C74" s="1223"/>
    </row>
    <row r="75" spans="1:8">
      <c r="B75" s="1222"/>
      <c r="C75" s="1223"/>
    </row>
    <row r="76" spans="1:8">
      <c r="B76" s="1222"/>
      <c r="C76" s="1223"/>
    </row>
    <row r="77" spans="1:8">
      <c r="B77" s="1222"/>
      <c r="C77" s="1223"/>
    </row>
    <row r="78" spans="1:8">
      <c r="B78" s="1222"/>
      <c r="C78" s="1223"/>
    </row>
    <row r="79" spans="1:8">
      <c r="B79" s="1222"/>
      <c r="C79" s="1223"/>
    </row>
    <row r="80" spans="1:8">
      <c r="B80" s="1222"/>
      <c r="C80" s="1223"/>
    </row>
    <row r="81" spans="2:3">
      <c r="B81" s="1222"/>
      <c r="C81" s="1223"/>
    </row>
    <row r="82" spans="2:3">
      <c r="B82" s="1222"/>
      <c r="C82" s="1223"/>
    </row>
    <row r="83" spans="2:3">
      <c r="B83" s="1222"/>
      <c r="C83" s="1223"/>
    </row>
    <row r="84" spans="2:3">
      <c r="B84" s="1222"/>
      <c r="C84" s="1223"/>
    </row>
    <row r="85" spans="2:3">
      <c r="B85" s="1222"/>
      <c r="C85" s="1223"/>
    </row>
    <row r="86" spans="2:3">
      <c r="B86" s="1222"/>
      <c r="C86" s="1223"/>
    </row>
    <row r="87" spans="2:3">
      <c r="B87" s="1222"/>
      <c r="C87" s="1223"/>
    </row>
    <row r="88" spans="2:3">
      <c r="B88" s="1222"/>
      <c r="C88" s="1223"/>
    </row>
    <row r="89" spans="2:3">
      <c r="B89" s="1222"/>
      <c r="C89" s="1223"/>
    </row>
    <row r="90" spans="2:3">
      <c r="B90" s="1222"/>
      <c r="C90" s="1223"/>
    </row>
    <row r="91" spans="2:3">
      <c r="B91" s="1222"/>
      <c r="C91" s="1223"/>
    </row>
    <row r="92" spans="2:3">
      <c r="B92" s="1222"/>
      <c r="C92" s="1223"/>
    </row>
    <row r="93" spans="2:3">
      <c r="B93" s="1222"/>
      <c r="C93" s="1223"/>
    </row>
    <row r="94" spans="2:3">
      <c r="B94" s="1222"/>
      <c r="C94" s="1223"/>
    </row>
    <row r="95" spans="2:3">
      <c r="B95" s="1222"/>
      <c r="C95" s="1223"/>
    </row>
    <row r="96" spans="2:3">
      <c r="B96" s="1222"/>
      <c r="C96" s="1223"/>
    </row>
    <row r="97" spans="2:3">
      <c r="B97" s="1222"/>
      <c r="C97" s="1223"/>
    </row>
    <row r="98" spans="2:3">
      <c r="B98" s="1222"/>
      <c r="C98" s="1223"/>
    </row>
    <row r="99" spans="2:3">
      <c r="B99" s="1222"/>
      <c r="C99" s="1223"/>
    </row>
    <row r="100" spans="2:3">
      <c r="B100" s="1222"/>
      <c r="C100" s="1223"/>
    </row>
    <row r="101" spans="2:3">
      <c r="B101" s="1222"/>
      <c r="C101" s="1223"/>
    </row>
    <row r="102" spans="2:3">
      <c r="B102" s="1222"/>
      <c r="C102" s="1223"/>
    </row>
    <row r="103" spans="2:3">
      <c r="B103" s="1222"/>
      <c r="C103" s="1223"/>
    </row>
    <row r="104" spans="2:3">
      <c r="B104" s="1222"/>
      <c r="C104" s="1223"/>
    </row>
    <row r="105" spans="2:3">
      <c r="B105" s="1222"/>
      <c r="C105" s="1223"/>
    </row>
    <row r="106" spans="2:3">
      <c r="B106" s="1222"/>
      <c r="C106" s="1223"/>
    </row>
    <row r="107" spans="2:3">
      <c r="B107" s="1222"/>
      <c r="C107" s="1223"/>
    </row>
    <row r="108" spans="2:3">
      <c r="B108" s="1222"/>
      <c r="C108" s="1223"/>
    </row>
    <row r="109" spans="2:3">
      <c r="B109" s="1222"/>
      <c r="C109" s="1223"/>
    </row>
    <row r="110" spans="2:3">
      <c r="B110" s="1222"/>
      <c r="C110" s="1223"/>
    </row>
    <row r="111" spans="2:3">
      <c r="B111" s="1222"/>
      <c r="C111" s="1223"/>
    </row>
  </sheetData>
  <autoFilter ref="A1:H26">
    <sortState ref="A2:H26">
      <sortCondition ref="H1:H26"/>
    </sortState>
  </autoFilter>
  <phoneticPr fontId="93"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04"/>
  <sheetViews>
    <sheetView workbookViewId="0">
      <selection activeCell="K6" sqref="K6"/>
    </sheetView>
  </sheetViews>
  <sheetFormatPr baseColWidth="10" defaultColWidth="11" defaultRowHeight="14.25"/>
  <cols>
    <col min="1" max="2" width="11" style="1220"/>
    <col min="3" max="3" width="25.625" style="1220" customWidth="1"/>
    <col min="4" max="4" width="18.625" style="1220" bestFit="1" customWidth="1"/>
    <col min="5" max="5" width="12" style="1221" bestFit="1" customWidth="1"/>
    <col min="6" max="6" width="12.625" style="1221" bestFit="1" customWidth="1"/>
    <col min="7" max="7" width="22.5" style="1220" bestFit="1" customWidth="1"/>
    <col min="8" max="8" width="11" style="1220"/>
    <col min="9" max="13" width="11" style="1098"/>
    <col min="14" max="16384" width="11" style="1097"/>
  </cols>
  <sheetData>
    <row r="1" spans="1:13" ht="15">
      <c r="A1" s="1210" t="s">
        <v>2904</v>
      </c>
      <c r="B1" s="1210" t="s">
        <v>5</v>
      </c>
      <c r="C1" s="1210" t="s">
        <v>2912</v>
      </c>
      <c r="D1" s="1210" t="s">
        <v>2913</v>
      </c>
      <c r="E1" s="1211" t="s">
        <v>2910</v>
      </c>
      <c r="F1" s="1211" t="s">
        <v>2911</v>
      </c>
      <c r="G1" s="1210" t="s">
        <v>2907</v>
      </c>
      <c r="H1" s="1212" t="s">
        <v>2908</v>
      </c>
      <c r="L1" s="1099" t="s">
        <v>2905</v>
      </c>
      <c r="M1" s="1099" t="s">
        <v>2906</v>
      </c>
    </row>
    <row r="2" spans="1:13" ht="15">
      <c r="A2" s="1214" t="s">
        <v>3459</v>
      </c>
      <c r="B2" s="1214" t="s">
        <v>3460</v>
      </c>
      <c r="C2" s="1213" t="s">
        <v>3461</v>
      </c>
      <c r="D2" s="1213" t="s">
        <v>3462</v>
      </c>
      <c r="E2" s="1335">
        <v>1915</v>
      </c>
      <c r="F2" s="1216">
        <v>0</v>
      </c>
      <c r="G2" s="1213" t="s">
        <v>3463</v>
      </c>
      <c r="H2" s="1217">
        <v>17</v>
      </c>
      <c r="K2" s="1099" t="s">
        <v>2909</v>
      </c>
      <c r="L2" s="1100">
        <f>+SUM(E:E)</f>
        <v>2677576.6100000003</v>
      </c>
      <c r="M2" s="1101">
        <f>+SUM(F:F)</f>
        <v>-1547651.2000000002</v>
      </c>
    </row>
    <row r="3" spans="1:13">
      <c r="A3" s="1214" t="s">
        <v>2921</v>
      </c>
      <c r="B3" s="1214" t="s">
        <v>2931</v>
      </c>
      <c r="C3" s="1213" t="s">
        <v>3353</v>
      </c>
      <c r="D3" s="1213" t="s">
        <v>3464</v>
      </c>
      <c r="E3" s="1335">
        <v>9677.43</v>
      </c>
      <c r="F3" s="1216">
        <v>0</v>
      </c>
      <c r="G3" s="1213" t="s">
        <v>2922</v>
      </c>
      <c r="H3" s="1217">
        <v>472</v>
      </c>
      <c r="K3" s="1123" t="s">
        <v>2949</v>
      </c>
      <c r="L3" s="1390">
        <f>COUNT(E:E)</f>
        <v>103</v>
      </c>
    </row>
    <row r="4" spans="1:13">
      <c r="A4" s="1214" t="s">
        <v>3401</v>
      </c>
      <c r="B4" s="1214" t="s">
        <v>2933</v>
      </c>
      <c r="C4" s="1213" t="s">
        <v>3465</v>
      </c>
      <c r="D4" s="1213" t="s">
        <v>3402</v>
      </c>
      <c r="E4" s="1335">
        <v>29888.9</v>
      </c>
      <c r="F4" s="1216">
        <v>0</v>
      </c>
      <c r="G4" s="1213" t="s">
        <v>3403</v>
      </c>
      <c r="H4" s="1217">
        <v>43</v>
      </c>
    </row>
    <row r="5" spans="1:13">
      <c r="A5" s="1214" t="s">
        <v>3466</v>
      </c>
      <c r="B5" s="1214" t="s">
        <v>2931</v>
      </c>
      <c r="C5" s="1213" t="s">
        <v>3467</v>
      </c>
      <c r="D5" s="1213" t="s">
        <v>3468</v>
      </c>
      <c r="E5" s="1335">
        <v>8679</v>
      </c>
      <c r="F5" s="1216">
        <v>0</v>
      </c>
      <c r="G5" s="1213" t="s">
        <v>3469</v>
      </c>
      <c r="H5" s="1217">
        <v>25</v>
      </c>
      <c r="K5" s="1123" t="s">
        <v>3321</v>
      </c>
      <c r="L5" s="1391">
        <f>+L2/L3</f>
        <v>25995.88941747573</v>
      </c>
    </row>
    <row r="6" spans="1:13">
      <c r="A6" s="1214" t="s">
        <v>3470</v>
      </c>
      <c r="B6" s="1214" t="s">
        <v>2933</v>
      </c>
      <c r="C6" s="1213" t="s">
        <v>3471</v>
      </c>
      <c r="D6" s="1213" t="s">
        <v>3472</v>
      </c>
      <c r="E6" s="1335">
        <v>38915</v>
      </c>
      <c r="F6" s="1216">
        <v>0</v>
      </c>
      <c r="G6" s="1213" t="s">
        <v>3473</v>
      </c>
      <c r="H6" s="1217">
        <v>8</v>
      </c>
    </row>
    <row r="7" spans="1:13">
      <c r="A7" s="1214" t="s">
        <v>3280</v>
      </c>
      <c r="B7" s="1214" t="s">
        <v>2932</v>
      </c>
      <c r="C7" s="1213" t="s">
        <v>3355</v>
      </c>
      <c r="D7" s="1213" t="s">
        <v>3281</v>
      </c>
      <c r="E7" s="1335">
        <v>33876.480000000003</v>
      </c>
      <c r="F7" s="1216">
        <v>0</v>
      </c>
      <c r="G7" s="1213" t="s">
        <v>3282</v>
      </c>
      <c r="H7" s="1217">
        <v>74</v>
      </c>
    </row>
    <row r="8" spans="1:13">
      <c r="A8" s="1214" t="s">
        <v>3371</v>
      </c>
      <c r="B8" s="1214" t="s">
        <v>2933</v>
      </c>
      <c r="C8" s="1213" t="s">
        <v>3355</v>
      </c>
      <c r="D8" s="1213" t="s">
        <v>3281</v>
      </c>
      <c r="E8" s="1335">
        <v>47489.03</v>
      </c>
      <c r="F8" s="1216">
        <v>0</v>
      </c>
      <c r="G8" s="1213" t="s">
        <v>3372</v>
      </c>
      <c r="H8" s="1217">
        <v>57</v>
      </c>
    </row>
    <row r="9" spans="1:13">
      <c r="A9" s="1214" t="s">
        <v>3474</v>
      </c>
      <c r="B9" s="1214" t="s">
        <v>3354</v>
      </c>
      <c r="C9" s="1213" t="s">
        <v>3475</v>
      </c>
      <c r="D9" s="1213" t="s">
        <v>3281</v>
      </c>
      <c r="E9" s="1335">
        <v>21415</v>
      </c>
      <c r="F9" s="1216">
        <v>0</v>
      </c>
      <c r="G9" s="1213" t="s">
        <v>3476</v>
      </c>
      <c r="H9" s="1217">
        <v>10</v>
      </c>
    </row>
    <row r="10" spans="1:13">
      <c r="A10" s="1214" t="s">
        <v>3477</v>
      </c>
      <c r="B10" s="1214" t="s">
        <v>3278</v>
      </c>
      <c r="C10" s="1213" t="s">
        <v>3478</v>
      </c>
      <c r="D10" s="1213" t="s">
        <v>3479</v>
      </c>
      <c r="E10" s="1335">
        <v>3315</v>
      </c>
      <c r="F10" s="1216">
        <v>0</v>
      </c>
      <c r="G10" s="1213" t="s">
        <v>3480</v>
      </c>
      <c r="H10" s="1217">
        <v>17</v>
      </c>
    </row>
    <row r="11" spans="1:13">
      <c r="A11" s="1214" t="s">
        <v>3481</v>
      </c>
      <c r="B11" s="1214" t="s">
        <v>3482</v>
      </c>
      <c r="C11" s="1213" t="s">
        <v>3478</v>
      </c>
      <c r="D11" s="1213" t="s">
        <v>3483</v>
      </c>
      <c r="E11" s="1335">
        <v>1165</v>
      </c>
      <c r="F11" s="1216">
        <v>0</v>
      </c>
      <c r="G11" s="1213" t="s">
        <v>3484</v>
      </c>
      <c r="H11" s="1217">
        <v>15</v>
      </c>
    </row>
    <row r="12" spans="1:13">
      <c r="A12" s="1214" t="s">
        <v>3404</v>
      </c>
      <c r="B12" s="1214" t="s">
        <v>2939</v>
      </c>
      <c r="C12" s="1213" t="s">
        <v>3405</v>
      </c>
      <c r="D12" s="1213" t="s">
        <v>3485</v>
      </c>
      <c r="E12" s="1335">
        <v>20703.23</v>
      </c>
      <c r="F12" s="1216">
        <v>0</v>
      </c>
      <c r="G12" s="1213" t="s">
        <v>3406</v>
      </c>
      <c r="H12" s="1217">
        <v>42</v>
      </c>
    </row>
    <row r="13" spans="1:13">
      <c r="A13" s="1214" t="s">
        <v>3486</v>
      </c>
      <c r="B13" s="1214" t="s">
        <v>2933</v>
      </c>
      <c r="C13" s="1213" t="s">
        <v>3487</v>
      </c>
      <c r="D13" s="1213" t="s">
        <v>3488</v>
      </c>
      <c r="E13" s="1335">
        <v>12765</v>
      </c>
      <c r="F13" s="1216">
        <v>0</v>
      </c>
      <c r="G13" s="1213" t="s">
        <v>3489</v>
      </c>
      <c r="H13" s="1217">
        <v>11</v>
      </c>
    </row>
    <row r="14" spans="1:13">
      <c r="A14" s="1214" t="s">
        <v>3490</v>
      </c>
      <c r="B14" s="1214" t="s">
        <v>2933</v>
      </c>
      <c r="C14" s="1213" t="s">
        <v>3491</v>
      </c>
      <c r="D14" s="1213" t="s">
        <v>3289</v>
      </c>
      <c r="E14" s="1335">
        <v>36175</v>
      </c>
      <c r="F14" s="1216">
        <v>-31950</v>
      </c>
      <c r="G14" s="1213" t="s">
        <v>3492</v>
      </c>
      <c r="H14" s="1217">
        <v>37</v>
      </c>
    </row>
    <row r="15" spans="1:13">
      <c r="A15" s="1214" t="s">
        <v>3288</v>
      </c>
      <c r="B15" s="1214" t="s">
        <v>2936</v>
      </c>
      <c r="C15" s="1213" t="s">
        <v>3491</v>
      </c>
      <c r="D15" s="1213" t="s">
        <v>3289</v>
      </c>
      <c r="E15" s="1335">
        <v>42444.1</v>
      </c>
      <c r="F15" s="1216">
        <v>-37125</v>
      </c>
      <c r="G15" s="1213" t="s">
        <v>3290</v>
      </c>
      <c r="H15" s="1217">
        <v>80</v>
      </c>
    </row>
    <row r="16" spans="1:13">
      <c r="A16" s="1214" t="s">
        <v>3291</v>
      </c>
      <c r="B16" s="1214" t="s">
        <v>2932</v>
      </c>
      <c r="C16" s="1213" t="s">
        <v>3491</v>
      </c>
      <c r="D16" s="1213" t="s">
        <v>2900</v>
      </c>
      <c r="E16" s="1335">
        <v>31425.01</v>
      </c>
      <c r="F16" s="1216">
        <v>-22340</v>
      </c>
      <c r="G16" s="1213" t="s">
        <v>3292</v>
      </c>
      <c r="H16" s="1217">
        <v>86</v>
      </c>
    </row>
    <row r="17" spans="1:8">
      <c r="A17" s="1214" t="s">
        <v>3493</v>
      </c>
      <c r="B17" s="1214" t="s">
        <v>2932</v>
      </c>
      <c r="C17" s="1213" t="s">
        <v>3491</v>
      </c>
      <c r="D17" s="1213" t="s">
        <v>2900</v>
      </c>
      <c r="E17" s="1335">
        <v>37165</v>
      </c>
      <c r="F17" s="1216">
        <v>-33075</v>
      </c>
      <c r="G17" s="1213" t="s">
        <v>3494</v>
      </c>
      <c r="H17" s="1217">
        <v>9</v>
      </c>
    </row>
    <row r="18" spans="1:8">
      <c r="A18" s="1214" t="s">
        <v>3274</v>
      </c>
      <c r="B18" s="1214" t="s">
        <v>2932</v>
      </c>
      <c r="C18" s="1213" t="s">
        <v>3491</v>
      </c>
      <c r="D18" s="1213" t="s">
        <v>2900</v>
      </c>
      <c r="E18" s="1335">
        <v>38017.550000000003</v>
      </c>
      <c r="F18" s="1216">
        <v>0</v>
      </c>
      <c r="G18" s="1213" t="s">
        <v>3275</v>
      </c>
      <c r="H18" s="1217">
        <v>71</v>
      </c>
    </row>
    <row r="19" spans="1:8">
      <c r="A19" s="1214" t="s">
        <v>3356</v>
      </c>
      <c r="B19" s="1214" t="s">
        <v>2932</v>
      </c>
      <c r="C19" s="1213" t="s">
        <v>3491</v>
      </c>
      <c r="D19" s="1213" t="s">
        <v>2900</v>
      </c>
      <c r="E19" s="1335">
        <v>38359.620000000003</v>
      </c>
      <c r="F19" s="1216">
        <v>-35719.269999999997</v>
      </c>
      <c r="G19" s="1213" t="s">
        <v>3357</v>
      </c>
      <c r="H19" s="1217">
        <v>70</v>
      </c>
    </row>
    <row r="20" spans="1:8">
      <c r="A20" s="1214" t="s">
        <v>3393</v>
      </c>
      <c r="B20" s="1214" t="s">
        <v>2932</v>
      </c>
      <c r="C20" s="1213" t="s">
        <v>3491</v>
      </c>
      <c r="D20" s="1213" t="s">
        <v>2900</v>
      </c>
      <c r="E20" s="1335">
        <v>42109.05</v>
      </c>
      <c r="F20" s="1216">
        <v>-35100</v>
      </c>
      <c r="G20" s="1213" t="s">
        <v>3394</v>
      </c>
      <c r="H20" s="1217">
        <v>45</v>
      </c>
    </row>
    <row r="21" spans="1:8">
      <c r="A21" s="1214" t="s">
        <v>3256</v>
      </c>
      <c r="B21" s="1214" t="s">
        <v>2933</v>
      </c>
      <c r="C21" s="1213" t="s">
        <v>3491</v>
      </c>
      <c r="D21" s="1213" t="s">
        <v>2900</v>
      </c>
      <c r="E21" s="1335">
        <v>39067.93</v>
      </c>
      <c r="F21" s="1216">
        <v>-28243.18</v>
      </c>
      <c r="G21" s="1213" t="s">
        <v>3257</v>
      </c>
      <c r="H21" s="1217">
        <v>106</v>
      </c>
    </row>
    <row r="22" spans="1:8">
      <c r="A22" s="1214" t="s">
        <v>3495</v>
      </c>
      <c r="B22" s="1214" t="s">
        <v>2933</v>
      </c>
      <c r="C22" s="1213" t="s">
        <v>3491</v>
      </c>
      <c r="D22" s="1213" t="s">
        <v>2900</v>
      </c>
      <c r="E22" s="1335">
        <v>44415</v>
      </c>
      <c r="F22" s="1335">
        <v>-36984.92</v>
      </c>
      <c r="G22" s="1213" t="s">
        <v>3496</v>
      </c>
      <c r="H22" s="1217">
        <v>29</v>
      </c>
    </row>
    <row r="23" spans="1:8">
      <c r="A23" s="1214" t="s">
        <v>3276</v>
      </c>
      <c r="B23" s="1214" t="s">
        <v>2933</v>
      </c>
      <c r="C23" s="1213" t="s">
        <v>3491</v>
      </c>
      <c r="D23" s="1213" t="s">
        <v>2900</v>
      </c>
      <c r="E23" s="1335">
        <v>46066.37</v>
      </c>
      <c r="F23" s="1335">
        <v>-32985.120000000003</v>
      </c>
      <c r="G23" s="1213" t="s">
        <v>3277</v>
      </c>
      <c r="H23" s="1217">
        <v>71</v>
      </c>
    </row>
    <row r="24" spans="1:8">
      <c r="A24" s="1214" t="s">
        <v>3397</v>
      </c>
      <c r="B24" s="1214" t="s">
        <v>2926</v>
      </c>
      <c r="C24" s="1213" t="s">
        <v>3491</v>
      </c>
      <c r="D24" s="1213" t="s">
        <v>2900</v>
      </c>
      <c r="E24" s="1335">
        <v>35591.1</v>
      </c>
      <c r="F24" s="1216">
        <v>0</v>
      </c>
      <c r="G24" s="1213" t="s">
        <v>3398</v>
      </c>
      <c r="H24" s="1217">
        <v>38</v>
      </c>
    </row>
    <row r="25" spans="1:8">
      <c r="A25" s="1214" t="s">
        <v>3497</v>
      </c>
      <c r="B25" s="1214" t="s">
        <v>2936</v>
      </c>
      <c r="C25" s="1213" t="s">
        <v>3491</v>
      </c>
      <c r="D25" s="1213" t="s">
        <v>3376</v>
      </c>
      <c r="E25" s="1335">
        <v>51105.45</v>
      </c>
      <c r="F25" s="1216">
        <v>-51139.96</v>
      </c>
      <c r="G25" s="1213" t="s">
        <v>3498</v>
      </c>
      <c r="H25" s="1217">
        <v>154</v>
      </c>
    </row>
    <row r="26" spans="1:8">
      <c r="A26" s="1214" t="s">
        <v>3375</v>
      </c>
      <c r="B26" s="1214" t="s">
        <v>2926</v>
      </c>
      <c r="C26" s="1213" t="s">
        <v>3491</v>
      </c>
      <c r="D26" s="1213" t="s">
        <v>3376</v>
      </c>
      <c r="E26" s="1335">
        <v>51390</v>
      </c>
      <c r="F26" s="1216">
        <v>-45450</v>
      </c>
      <c r="G26" s="1213" t="s">
        <v>3377</v>
      </c>
      <c r="H26" s="1217">
        <v>56</v>
      </c>
    </row>
    <row r="27" spans="1:8">
      <c r="A27" s="1214" t="s">
        <v>3499</v>
      </c>
      <c r="B27" s="1214" t="s">
        <v>2933</v>
      </c>
      <c r="C27" s="1213" t="s">
        <v>3491</v>
      </c>
      <c r="D27" s="1213" t="s">
        <v>3500</v>
      </c>
      <c r="E27" s="1335">
        <v>35415</v>
      </c>
      <c r="F27" s="1216">
        <v>0</v>
      </c>
      <c r="G27" s="1213" t="s">
        <v>3501</v>
      </c>
      <c r="H27" s="1217">
        <v>3</v>
      </c>
    </row>
    <row r="28" spans="1:8">
      <c r="A28" s="1214" t="s">
        <v>3502</v>
      </c>
      <c r="B28" s="1214" t="s">
        <v>2934</v>
      </c>
      <c r="C28" s="1213" t="s">
        <v>3491</v>
      </c>
      <c r="D28" s="1213" t="s">
        <v>3503</v>
      </c>
      <c r="E28" s="1335">
        <v>19070</v>
      </c>
      <c r="F28" s="1216">
        <v>-16560</v>
      </c>
      <c r="G28" s="1213" t="s">
        <v>3504</v>
      </c>
      <c r="H28" s="1217">
        <v>15</v>
      </c>
    </row>
    <row r="29" spans="1:8">
      <c r="A29" s="1214" t="s">
        <v>3358</v>
      </c>
      <c r="B29" s="1214" t="s">
        <v>2935</v>
      </c>
      <c r="C29" s="1213" t="s">
        <v>3491</v>
      </c>
      <c r="D29" s="1213" t="s">
        <v>2918</v>
      </c>
      <c r="E29" s="1335">
        <v>12468.02</v>
      </c>
      <c r="F29" s="1335">
        <v>-10125</v>
      </c>
      <c r="G29" s="1213" t="s">
        <v>3359</v>
      </c>
      <c r="H29" s="1217">
        <v>66</v>
      </c>
    </row>
    <row r="30" spans="1:8">
      <c r="A30" s="1214" t="s">
        <v>3505</v>
      </c>
      <c r="B30" s="1214" t="s">
        <v>2935</v>
      </c>
      <c r="C30" s="1213" t="s">
        <v>3491</v>
      </c>
      <c r="D30" s="1213" t="s">
        <v>2918</v>
      </c>
      <c r="E30" s="1335">
        <v>14170</v>
      </c>
      <c r="F30" s="1216">
        <v>-12320.39</v>
      </c>
      <c r="G30" s="1213" t="s">
        <v>3506</v>
      </c>
      <c r="H30" s="1217">
        <v>9</v>
      </c>
    </row>
    <row r="31" spans="1:8">
      <c r="A31" s="1214" t="s">
        <v>3507</v>
      </c>
      <c r="B31" s="1214" t="s">
        <v>2932</v>
      </c>
      <c r="C31" s="1213" t="s">
        <v>3491</v>
      </c>
      <c r="D31" s="1213" t="s">
        <v>2918</v>
      </c>
      <c r="E31" s="1335">
        <v>14250</v>
      </c>
      <c r="F31" s="1216">
        <v>0</v>
      </c>
      <c r="G31" s="1213" t="s">
        <v>3508</v>
      </c>
      <c r="H31" s="1217">
        <v>2</v>
      </c>
    </row>
    <row r="32" spans="1:8">
      <c r="A32" s="1214" t="s">
        <v>3509</v>
      </c>
      <c r="B32" s="1214" t="s">
        <v>2932</v>
      </c>
      <c r="C32" s="1213" t="s">
        <v>3491</v>
      </c>
      <c r="D32" s="1213" t="s">
        <v>2918</v>
      </c>
      <c r="E32" s="1335">
        <v>14665</v>
      </c>
      <c r="F32" s="1216">
        <v>-11373</v>
      </c>
      <c r="G32" s="1213" t="s">
        <v>3510</v>
      </c>
      <c r="H32" s="1217">
        <v>11</v>
      </c>
    </row>
    <row r="33" spans="1:8">
      <c r="A33" s="1214" t="s">
        <v>3511</v>
      </c>
      <c r="B33" s="1214" t="s">
        <v>2932</v>
      </c>
      <c r="C33" s="1213" t="s">
        <v>3491</v>
      </c>
      <c r="D33" s="1213" t="s">
        <v>2918</v>
      </c>
      <c r="E33" s="1335">
        <v>17658.7</v>
      </c>
      <c r="F33" s="1216">
        <v>-10926</v>
      </c>
      <c r="G33" s="1213" t="s">
        <v>3512</v>
      </c>
      <c r="H33" s="1217">
        <v>25</v>
      </c>
    </row>
    <row r="34" spans="1:8">
      <c r="A34" s="1214" t="s">
        <v>3513</v>
      </c>
      <c r="B34" s="1214" t="s">
        <v>2933</v>
      </c>
      <c r="C34" s="1213" t="s">
        <v>3491</v>
      </c>
      <c r="D34" s="1213" t="s">
        <v>2918</v>
      </c>
      <c r="E34" s="1335">
        <v>21670</v>
      </c>
      <c r="F34" s="1216">
        <v>-14978.8</v>
      </c>
      <c r="G34" s="1213" t="s">
        <v>3514</v>
      </c>
      <c r="H34" s="1217">
        <v>17</v>
      </c>
    </row>
    <row r="35" spans="1:8">
      <c r="A35" s="1214" t="s">
        <v>3515</v>
      </c>
      <c r="B35" s="1214" t="s">
        <v>2926</v>
      </c>
      <c r="C35" s="1213" t="s">
        <v>3491</v>
      </c>
      <c r="D35" s="1213" t="s">
        <v>2918</v>
      </c>
      <c r="E35" s="1335">
        <v>25915</v>
      </c>
      <c r="F35" s="1216">
        <v>0</v>
      </c>
      <c r="G35" s="1213" t="s">
        <v>3516</v>
      </c>
      <c r="H35" s="1217">
        <v>3</v>
      </c>
    </row>
    <row r="36" spans="1:8">
      <c r="A36" s="1214" t="s">
        <v>3364</v>
      </c>
      <c r="B36" s="1214" t="s">
        <v>2939</v>
      </c>
      <c r="C36" s="1213" t="s">
        <v>3491</v>
      </c>
      <c r="D36" s="1213" t="s">
        <v>3365</v>
      </c>
      <c r="E36" s="1335">
        <v>12669.53</v>
      </c>
      <c r="F36" s="1335">
        <v>0</v>
      </c>
      <c r="G36" s="1213" t="s">
        <v>3366</v>
      </c>
      <c r="H36" s="1217">
        <v>60</v>
      </c>
    </row>
    <row r="37" spans="1:8">
      <c r="A37" s="1214" t="s">
        <v>2937</v>
      </c>
      <c r="B37" s="1214" t="s">
        <v>2932</v>
      </c>
      <c r="C37" s="1213" t="s">
        <v>3491</v>
      </c>
      <c r="D37" s="1213" t="s">
        <v>2925</v>
      </c>
      <c r="E37" s="1335">
        <v>22793.59</v>
      </c>
      <c r="F37" s="1335">
        <v>0</v>
      </c>
      <c r="G37" s="1213" t="s">
        <v>2938</v>
      </c>
      <c r="H37" s="1217">
        <v>238</v>
      </c>
    </row>
    <row r="38" spans="1:8">
      <c r="A38" s="1214" t="s">
        <v>3517</v>
      </c>
      <c r="B38" s="1214" t="s">
        <v>2933</v>
      </c>
      <c r="C38" s="1213" t="s">
        <v>3491</v>
      </c>
      <c r="D38" s="1213" t="s">
        <v>2925</v>
      </c>
      <c r="E38" s="1335">
        <v>18735.53</v>
      </c>
      <c r="F38" s="1335">
        <v>-17601</v>
      </c>
      <c r="G38" s="1213" t="s">
        <v>3518</v>
      </c>
      <c r="H38" s="1217">
        <v>10</v>
      </c>
    </row>
    <row r="39" spans="1:8">
      <c r="A39" s="1214" t="s">
        <v>3261</v>
      </c>
      <c r="B39" s="1214" t="s">
        <v>2933</v>
      </c>
      <c r="C39" s="1213" t="s">
        <v>3491</v>
      </c>
      <c r="D39" s="1213" t="s">
        <v>2925</v>
      </c>
      <c r="E39" s="1335">
        <v>31675.93</v>
      </c>
      <c r="F39" s="1216">
        <v>-27450</v>
      </c>
      <c r="G39" s="1213" t="s">
        <v>3262</v>
      </c>
      <c r="H39" s="1217">
        <v>127</v>
      </c>
    </row>
    <row r="40" spans="1:8">
      <c r="A40" s="1214" t="s">
        <v>3519</v>
      </c>
      <c r="B40" s="1214" t="s">
        <v>2939</v>
      </c>
      <c r="C40" s="1213" t="s">
        <v>3491</v>
      </c>
      <c r="D40" s="1213" t="s">
        <v>2923</v>
      </c>
      <c r="E40" s="1335">
        <v>17170</v>
      </c>
      <c r="F40" s="1216">
        <v>-14850</v>
      </c>
      <c r="G40" s="1213" t="s">
        <v>3520</v>
      </c>
      <c r="H40" s="1217">
        <v>7</v>
      </c>
    </row>
    <row r="41" spans="1:8">
      <c r="A41" s="1214" t="s">
        <v>3521</v>
      </c>
      <c r="B41" s="1214" t="s">
        <v>2939</v>
      </c>
      <c r="C41" s="1213" t="s">
        <v>3491</v>
      </c>
      <c r="D41" s="1213" t="s">
        <v>2923</v>
      </c>
      <c r="E41" s="1335">
        <v>21239.53</v>
      </c>
      <c r="F41" s="1216">
        <v>0</v>
      </c>
      <c r="G41" s="1213" t="s">
        <v>3522</v>
      </c>
      <c r="H41" s="1217">
        <v>15</v>
      </c>
    </row>
    <row r="42" spans="1:8">
      <c r="A42" s="1214" t="s">
        <v>3407</v>
      </c>
      <c r="B42" s="1214" t="s">
        <v>2934</v>
      </c>
      <c r="C42" s="1213" t="s">
        <v>3491</v>
      </c>
      <c r="D42" s="1213" t="s">
        <v>2923</v>
      </c>
      <c r="E42" s="1335">
        <v>22637.73</v>
      </c>
      <c r="F42" s="1216">
        <v>-19575</v>
      </c>
      <c r="G42" s="1213" t="s">
        <v>3408</v>
      </c>
      <c r="H42" s="1217">
        <v>42</v>
      </c>
    </row>
    <row r="43" spans="1:8">
      <c r="A43" s="1214" t="s">
        <v>3523</v>
      </c>
      <c r="B43" s="1214" t="s">
        <v>2933</v>
      </c>
      <c r="C43" s="1213" t="s">
        <v>3491</v>
      </c>
      <c r="D43" s="1213" t="s">
        <v>2923</v>
      </c>
      <c r="E43" s="1335">
        <v>30139.83</v>
      </c>
      <c r="F43" s="1216">
        <v>-26100</v>
      </c>
      <c r="G43" s="1213" t="s">
        <v>3524</v>
      </c>
      <c r="H43" s="1217">
        <v>14</v>
      </c>
    </row>
    <row r="44" spans="1:8">
      <c r="A44" s="1214" t="s">
        <v>3525</v>
      </c>
      <c r="B44" s="1214" t="s">
        <v>2933</v>
      </c>
      <c r="C44" s="1213" t="s">
        <v>3491</v>
      </c>
      <c r="D44" s="1213" t="s">
        <v>2923</v>
      </c>
      <c r="E44" s="1335">
        <v>32170</v>
      </c>
      <c r="F44" s="1216">
        <v>-28350</v>
      </c>
      <c r="G44" s="1213" t="s">
        <v>3526</v>
      </c>
      <c r="H44" s="1217">
        <v>7</v>
      </c>
    </row>
    <row r="45" spans="1:8">
      <c r="A45" s="1214" t="s">
        <v>3527</v>
      </c>
      <c r="B45" s="1214" t="s">
        <v>2926</v>
      </c>
      <c r="C45" s="1213" t="s">
        <v>3491</v>
      </c>
      <c r="D45" s="1213" t="s">
        <v>2923</v>
      </c>
      <c r="E45" s="1335">
        <v>38636.11</v>
      </c>
      <c r="F45" s="1216">
        <v>-33525</v>
      </c>
      <c r="G45" s="1213" t="s">
        <v>3528</v>
      </c>
      <c r="H45" s="1217">
        <v>37</v>
      </c>
    </row>
    <row r="46" spans="1:8">
      <c r="A46" s="1214" t="s">
        <v>3529</v>
      </c>
      <c r="B46" s="1214" t="s">
        <v>2932</v>
      </c>
      <c r="C46" s="1213" t="s">
        <v>3491</v>
      </c>
      <c r="D46" s="1213" t="s">
        <v>2948</v>
      </c>
      <c r="E46" s="1335">
        <v>35670</v>
      </c>
      <c r="F46" s="1335">
        <v>-21456</v>
      </c>
      <c r="G46" s="1213" t="s">
        <v>3530</v>
      </c>
      <c r="H46" s="1217">
        <v>15</v>
      </c>
    </row>
    <row r="47" spans="1:8">
      <c r="A47" s="1214" t="s">
        <v>3293</v>
      </c>
      <c r="B47" s="1214" t="s">
        <v>2932</v>
      </c>
      <c r="C47" s="1213" t="s">
        <v>3491</v>
      </c>
      <c r="D47" s="1213" t="s">
        <v>2948</v>
      </c>
      <c r="E47" s="1335">
        <v>38040.32</v>
      </c>
      <c r="F47" s="1216">
        <v>-32617.9</v>
      </c>
      <c r="G47" s="1213" t="s">
        <v>3294</v>
      </c>
      <c r="H47" s="1217">
        <v>87</v>
      </c>
    </row>
    <row r="48" spans="1:8">
      <c r="A48" s="1214" t="s">
        <v>3387</v>
      </c>
      <c r="B48" s="1214" t="s">
        <v>2932</v>
      </c>
      <c r="C48" s="1213" t="s">
        <v>3491</v>
      </c>
      <c r="D48" s="1213" t="s">
        <v>2948</v>
      </c>
      <c r="E48" s="1335">
        <v>38398.94</v>
      </c>
      <c r="F48" s="1216">
        <v>-20191</v>
      </c>
      <c r="G48" s="1213" t="s">
        <v>3388</v>
      </c>
      <c r="H48" s="1217">
        <v>49</v>
      </c>
    </row>
    <row r="49" spans="1:8">
      <c r="A49" s="1214" t="s">
        <v>3369</v>
      </c>
      <c r="B49" s="1214" t="s">
        <v>2932</v>
      </c>
      <c r="C49" s="1213" t="s">
        <v>3491</v>
      </c>
      <c r="D49" s="1213" t="s">
        <v>2948</v>
      </c>
      <c r="E49" s="1335">
        <v>40700</v>
      </c>
      <c r="F49" s="1216">
        <v>-35550</v>
      </c>
      <c r="G49" s="1213" t="s">
        <v>3370</v>
      </c>
      <c r="H49" s="1217">
        <v>58</v>
      </c>
    </row>
    <row r="50" spans="1:8">
      <c r="A50" s="1214" t="s">
        <v>3531</v>
      </c>
      <c r="B50" s="1214" t="s">
        <v>2927</v>
      </c>
      <c r="C50" s="1213" t="s">
        <v>3491</v>
      </c>
      <c r="D50" s="1213" t="s">
        <v>2948</v>
      </c>
      <c r="E50" s="1335">
        <v>56043.95</v>
      </c>
      <c r="F50" s="1216">
        <v>0</v>
      </c>
      <c r="G50" s="1213" t="s">
        <v>3532</v>
      </c>
      <c r="H50" s="1217">
        <v>3</v>
      </c>
    </row>
    <row r="51" spans="1:8">
      <c r="A51" s="1214" t="s">
        <v>3533</v>
      </c>
      <c r="B51" s="1214" t="s">
        <v>2932</v>
      </c>
      <c r="C51" s="1213" t="s">
        <v>3491</v>
      </c>
      <c r="D51" s="1213" t="s">
        <v>3383</v>
      </c>
      <c r="E51" s="1335">
        <v>21175</v>
      </c>
      <c r="F51" s="1216">
        <v>-13460</v>
      </c>
      <c r="G51" s="1213" t="s">
        <v>3534</v>
      </c>
      <c r="H51" s="1217">
        <v>14</v>
      </c>
    </row>
    <row r="52" spans="1:8">
      <c r="A52" s="1214" t="s">
        <v>3382</v>
      </c>
      <c r="B52" s="1214" t="s">
        <v>2933</v>
      </c>
      <c r="C52" s="1213" t="s">
        <v>3491</v>
      </c>
      <c r="D52" s="1213" t="s">
        <v>3383</v>
      </c>
      <c r="E52" s="1335">
        <v>26499.58</v>
      </c>
      <c r="F52" s="1216">
        <v>-18565.099999999999</v>
      </c>
      <c r="G52" s="1213" t="s">
        <v>3384</v>
      </c>
      <c r="H52" s="1217">
        <v>50</v>
      </c>
    </row>
    <row r="53" spans="1:8">
      <c r="A53" s="1214" t="s">
        <v>3285</v>
      </c>
      <c r="B53" s="1214" t="s">
        <v>3258</v>
      </c>
      <c r="C53" s="1213" t="s">
        <v>3491</v>
      </c>
      <c r="D53" s="1213" t="s">
        <v>3286</v>
      </c>
      <c r="E53" s="1335">
        <v>10455.65</v>
      </c>
      <c r="F53" s="1216">
        <v>0</v>
      </c>
      <c r="G53" s="1213" t="s">
        <v>3287</v>
      </c>
      <c r="H53" s="1217">
        <v>80</v>
      </c>
    </row>
    <row r="54" spans="1:8">
      <c r="A54" s="1214" t="s">
        <v>3535</v>
      </c>
      <c r="B54" s="1214" t="s">
        <v>2933</v>
      </c>
      <c r="C54" s="1213" t="s">
        <v>3491</v>
      </c>
      <c r="D54" s="1213" t="s">
        <v>2919</v>
      </c>
      <c r="E54" s="1335">
        <v>18316.03</v>
      </c>
      <c r="F54" s="1335">
        <v>-15564.51</v>
      </c>
      <c r="G54" s="1213" t="s">
        <v>3536</v>
      </c>
      <c r="H54" s="1217">
        <v>28</v>
      </c>
    </row>
    <row r="55" spans="1:8">
      <c r="A55" s="1214" t="s">
        <v>3537</v>
      </c>
      <c r="B55" s="1214" t="s">
        <v>2933</v>
      </c>
      <c r="C55" s="1213" t="s">
        <v>3491</v>
      </c>
      <c r="D55" s="1213" t="s">
        <v>2919</v>
      </c>
      <c r="E55" s="1335">
        <v>19670</v>
      </c>
      <c r="F55" s="1216">
        <v>-17100</v>
      </c>
      <c r="G55" s="1213" t="s">
        <v>3538</v>
      </c>
      <c r="H55" s="1217">
        <v>7</v>
      </c>
    </row>
    <row r="56" spans="1:8">
      <c r="A56" s="1214" t="s">
        <v>3539</v>
      </c>
      <c r="B56" s="1214" t="s">
        <v>2933</v>
      </c>
      <c r="C56" s="1213" t="s">
        <v>3491</v>
      </c>
      <c r="D56" s="1213" t="s">
        <v>2919</v>
      </c>
      <c r="E56" s="1335">
        <v>21675</v>
      </c>
      <c r="F56" s="1335">
        <v>-16843.55</v>
      </c>
      <c r="G56" s="1213" t="s">
        <v>3540</v>
      </c>
      <c r="H56" s="1217">
        <v>14</v>
      </c>
    </row>
    <row r="57" spans="1:8">
      <c r="A57" s="1214" t="s">
        <v>3541</v>
      </c>
      <c r="B57" s="1214" t="s">
        <v>2933</v>
      </c>
      <c r="C57" s="1213" t="s">
        <v>3491</v>
      </c>
      <c r="D57" s="1213" t="s">
        <v>2919</v>
      </c>
      <c r="E57" s="1335">
        <v>22170</v>
      </c>
      <c r="F57" s="1335">
        <v>-14120.56</v>
      </c>
      <c r="G57" s="1213" t="s">
        <v>3542</v>
      </c>
      <c r="H57" s="1217">
        <v>15</v>
      </c>
    </row>
    <row r="58" spans="1:8">
      <c r="A58" s="1214" t="s">
        <v>3543</v>
      </c>
      <c r="B58" s="1214" t="s">
        <v>2933</v>
      </c>
      <c r="C58" s="1213" t="s">
        <v>3491</v>
      </c>
      <c r="D58" s="1213" t="s">
        <v>2919</v>
      </c>
      <c r="E58" s="1335">
        <v>22670</v>
      </c>
      <c r="F58" s="1216">
        <v>-19070.88</v>
      </c>
      <c r="G58" s="1213" t="s">
        <v>3544</v>
      </c>
      <c r="H58" s="1217">
        <v>14</v>
      </c>
    </row>
    <row r="59" spans="1:8">
      <c r="A59" s="1214" t="s">
        <v>3545</v>
      </c>
      <c r="B59" s="1214" t="s">
        <v>2933</v>
      </c>
      <c r="C59" s="1213" t="s">
        <v>3491</v>
      </c>
      <c r="D59" s="1213" t="s">
        <v>2919</v>
      </c>
      <c r="E59" s="1335">
        <v>23475</v>
      </c>
      <c r="F59" s="1216">
        <v>-14612</v>
      </c>
      <c r="G59" s="1213" t="s">
        <v>3546</v>
      </c>
      <c r="H59" s="1217">
        <v>14</v>
      </c>
    </row>
    <row r="60" spans="1:8">
      <c r="A60" s="1214" t="s">
        <v>3389</v>
      </c>
      <c r="B60" s="1214" t="s">
        <v>2933</v>
      </c>
      <c r="C60" s="1213" t="s">
        <v>3491</v>
      </c>
      <c r="D60" s="1213" t="s">
        <v>2919</v>
      </c>
      <c r="E60" s="1335">
        <v>24825.27</v>
      </c>
      <c r="F60" s="1335">
        <v>-19620</v>
      </c>
      <c r="G60" s="1213" t="s">
        <v>3390</v>
      </c>
      <c r="H60" s="1217">
        <v>49</v>
      </c>
    </row>
    <row r="61" spans="1:8">
      <c r="A61" s="1214" t="s">
        <v>3547</v>
      </c>
      <c r="B61" s="1214" t="s">
        <v>2936</v>
      </c>
      <c r="C61" s="1213" t="s">
        <v>3491</v>
      </c>
      <c r="D61" s="1213" t="s">
        <v>3548</v>
      </c>
      <c r="E61" s="1335">
        <v>24220.58</v>
      </c>
      <c r="F61" s="1335">
        <v>-25533.11</v>
      </c>
      <c r="G61" s="1213" t="s">
        <v>3549</v>
      </c>
      <c r="H61" s="1217">
        <v>15</v>
      </c>
    </row>
    <row r="62" spans="1:8">
      <c r="A62" s="1214" t="s">
        <v>3550</v>
      </c>
      <c r="B62" s="1214" t="s">
        <v>3279</v>
      </c>
      <c r="C62" s="1213" t="s">
        <v>3491</v>
      </c>
      <c r="D62" s="1213" t="s">
        <v>2924</v>
      </c>
      <c r="E62" s="1335">
        <v>2165</v>
      </c>
      <c r="F62" s="1216">
        <v>0</v>
      </c>
      <c r="G62" s="1213" t="s">
        <v>3551</v>
      </c>
      <c r="H62" s="1217">
        <v>16</v>
      </c>
    </row>
    <row r="63" spans="1:8">
      <c r="A63" s="1214" t="s">
        <v>3552</v>
      </c>
      <c r="B63" s="1214" t="s">
        <v>3258</v>
      </c>
      <c r="C63" s="1213" t="s">
        <v>3491</v>
      </c>
      <c r="D63" s="1213" t="s">
        <v>2924</v>
      </c>
      <c r="E63" s="1335">
        <v>8990.8799999999992</v>
      </c>
      <c r="F63" s="1335">
        <v>0</v>
      </c>
      <c r="G63" s="1213" t="s">
        <v>3553</v>
      </c>
      <c r="H63" s="1217">
        <v>39</v>
      </c>
    </row>
    <row r="64" spans="1:8">
      <c r="A64" s="1214" t="s">
        <v>3554</v>
      </c>
      <c r="B64" s="1214" t="s">
        <v>2935</v>
      </c>
      <c r="C64" s="1213" t="s">
        <v>3491</v>
      </c>
      <c r="D64" s="1213" t="s">
        <v>2924</v>
      </c>
      <c r="E64" s="1335">
        <v>10675</v>
      </c>
      <c r="F64" s="1335">
        <v>0</v>
      </c>
      <c r="G64" s="1213" t="s">
        <v>3555</v>
      </c>
      <c r="H64" s="1217">
        <v>16</v>
      </c>
    </row>
    <row r="65" spans="1:13">
      <c r="A65" s="1214" t="s">
        <v>3378</v>
      </c>
      <c r="B65" s="1214" t="s">
        <v>2935</v>
      </c>
      <c r="C65" s="1213" t="s">
        <v>3491</v>
      </c>
      <c r="D65" s="1213" t="s">
        <v>2924</v>
      </c>
      <c r="E65" s="1335">
        <v>14127.93</v>
      </c>
      <c r="F65" s="1335">
        <v>0</v>
      </c>
      <c r="G65" s="1213" t="s">
        <v>3379</v>
      </c>
      <c r="H65" s="1217">
        <v>53</v>
      </c>
    </row>
    <row r="66" spans="1:13" s="1227" customFormat="1">
      <c r="A66" s="1214" t="s">
        <v>3391</v>
      </c>
      <c r="B66" s="1214" t="s">
        <v>2934</v>
      </c>
      <c r="C66" s="1213" t="s">
        <v>3491</v>
      </c>
      <c r="D66" s="1213" t="s">
        <v>2924</v>
      </c>
      <c r="E66" s="1335">
        <v>13261.68</v>
      </c>
      <c r="F66" s="1335">
        <v>0</v>
      </c>
      <c r="G66" s="1213" t="s">
        <v>3392</v>
      </c>
      <c r="H66" s="1217">
        <v>46</v>
      </c>
      <c r="I66" s="1226"/>
      <c r="J66" s="1226"/>
      <c r="K66" s="1226"/>
      <c r="L66" s="1226"/>
      <c r="M66" s="1226"/>
    </row>
    <row r="67" spans="1:13" s="1227" customFormat="1">
      <c r="A67" s="1214" t="s">
        <v>3373</v>
      </c>
      <c r="B67" s="1214" t="s">
        <v>2939</v>
      </c>
      <c r="C67" s="1213" t="s">
        <v>3491</v>
      </c>
      <c r="D67" s="1213" t="s">
        <v>2999</v>
      </c>
      <c r="E67" s="1335">
        <v>13661.56</v>
      </c>
      <c r="F67" s="1335">
        <v>-10800</v>
      </c>
      <c r="G67" s="1213" t="s">
        <v>3374</v>
      </c>
      <c r="H67" s="1217">
        <v>56</v>
      </c>
      <c r="I67" s="1226"/>
      <c r="J67" s="1226"/>
      <c r="K67" s="1226"/>
      <c r="L67" s="1226"/>
      <c r="M67" s="1226"/>
    </row>
    <row r="68" spans="1:13" s="1227" customFormat="1">
      <c r="A68" s="1214" t="s">
        <v>3367</v>
      </c>
      <c r="B68" s="1214" t="s">
        <v>2935</v>
      </c>
      <c r="C68" s="1213" t="s">
        <v>3491</v>
      </c>
      <c r="D68" s="1213" t="s">
        <v>2999</v>
      </c>
      <c r="E68" s="1335">
        <v>20382.919999999998</v>
      </c>
      <c r="F68" s="1335">
        <v>0</v>
      </c>
      <c r="G68" s="1213" t="s">
        <v>3368</v>
      </c>
      <c r="H68" s="1217">
        <v>59</v>
      </c>
      <c r="I68" s="1226"/>
      <c r="J68" s="1226"/>
      <c r="K68" s="1226"/>
      <c r="L68" s="1226"/>
      <c r="M68" s="1226"/>
    </row>
    <row r="69" spans="1:13" s="1227" customFormat="1">
      <c r="A69" s="1214" t="s">
        <v>3259</v>
      </c>
      <c r="B69" s="1214" t="s">
        <v>2935</v>
      </c>
      <c r="C69" s="1213" t="s">
        <v>3491</v>
      </c>
      <c r="D69" s="1213" t="s">
        <v>2999</v>
      </c>
      <c r="E69" s="1335">
        <v>20634.580000000002</v>
      </c>
      <c r="F69" s="1216">
        <v>-17550</v>
      </c>
      <c r="G69" s="1213" t="s">
        <v>3260</v>
      </c>
      <c r="H69" s="1217">
        <v>127</v>
      </c>
      <c r="I69" s="1226"/>
      <c r="J69" s="1226"/>
      <c r="K69" s="1226"/>
      <c r="L69" s="1226"/>
      <c r="M69" s="1226"/>
    </row>
    <row r="70" spans="1:13" s="1227" customFormat="1">
      <c r="A70" s="1214" t="s">
        <v>3556</v>
      </c>
      <c r="B70" s="1214" t="s">
        <v>3258</v>
      </c>
      <c r="C70" s="1213" t="s">
        <v>3491</v>
      </c>
      <c r="D70" s="1213" t="s">
        <v>2901</v>
      </c>
      <c r="E70" s="1335">
        <v>12670</v>
      </c>
      <c r="F70" s="1216">
        <v>0</v>
      </c>
      <c r="G70" s="1213" t="s">
        <v>3557</v>
      </c>
      <c r="H70" s="1217">
        <v>18</v>
      </c>
      <c r="I70" s="1226"/>
      <c r="J70" s="1226"/>
      <c r="K70" s="1226"/>
      <c r="L70" s="1226"/>
      <c r="M70" s="1226"/>
    </row>
    <row r="71" spans="1:13" s="1227" customFormat="1">
      <c r="A71" s="1214" t="s">
        <v>3558</v>
      </c>
      <c r="B71" s="1214" t="s">
        <v>3258</v>
      </c>
      <c r="C71" s="1213" t="s">
        <v>3491</v>
      </c>
      <c r="D71" s="1213" t="s">
        <v>2901</v>
      </c>
      <c r="E71" s="1335">
        <v>13420</v>
      </c>
      <c r="F71" s="1335">
        <v>0</v>
      </c>
      <c r="G71" s="1213" t="s">
        <v>3559</v>
      </c>
      <c r="H71" s="1217">
        <v>37</v>
      </c>
      <c r="I71" s="1226"/>
      <c r="J71" s="1226"/>
      <c r="K71" s="1226"/>
      <c r="L71" s="1226"/>
      <c r="M71" s="1226"/>
    </row>
    <row r="72" spans="1:13" s="1227" customFormat="1">
      <c r="A72" s="1214" t="s">
        <v>3283</v>
      </c>
      <c r="B72" s="1214" t="s">
        <v>3258</v>
      </c>
      <c r="C72" s="1213" t="s">
        <v>3491</v>
      </c>
      <c r="D72" s="1213" t="s">
        <v>2901</v>
      </c>
      <c r="E72" s="1335">
        <v>16069.07</v>
      </c>
      <c r="F72" s="1216">
        <v>0</v>
      </c>
      <c r="G72" s="1213" t="s">
        <v>3284</v>
      </c>
      <c r="H72" s="1217">
        <v>79</v>
      </c>
      <c r="I72" s="1226"/>
      <c r="J72" s="1226"/>
      <c r="K72" s="1226"/>
      <c r="L72" s="1226"/>
      <c r="M72" s="1226"/>
    </row>
    <row r="73" spans="1:13" s="1227" customFormat="1">
      <c r="A73" s="1214" t="s">
        <v>3560</v>
      </c>
      <c r="B73" s="1214" t="s">
        <v>2935</v>
      </c>
      <c r="C73" s="1213" t="s">
        <v>3491</v>
      </c>
      <c r="D73" s="1213" t="s">
        <v>2901</v>
      </c>
      <c r="E73" s="1335">
        <v>14915</v>
      </c>
      <c r="F73" s="1216">
        <v>-13050</v>
      </c>
      <c r="G73" s="1213" t="s">
        <v>3561</v>
      </c>
      <c r="H73" s="1217">
        <v>4</v>
      </c>
      <c r="I73" s="1226"/>
      <c r="J73" s="1226"/>
      <c r="K73" s="1226"/>
      <c r="L73" s="1226"/>
      <c r="M73" s="1226"/>
    </row>
    <row r="74" spans="1:13">
      <c r="A74" s="1214" t="s">
        <v>3562</v>
      </c>
      <c r="B74" s="1214" t="s">
        <v>2934</v>
      </c>
      <c r="C74" s="1213" t="s">
        <v>3491</v>
      </c>
      <c r="D74" s="1213" t="s">
        <v>2901</v>
      </c>
      <c r="E74" s="1215">
        <v>18915</v>
      </c>
      <c r="F74" s="1216">
        <v>-16650</v>
      </c>
      <c r="G74" s="1213" t="s">
        <v>3563</v>
      </c>
      <c r="H74" s="1217">
        <v>17</v>
      </c>
    </row>
    <row r="75" spans="1:13">
      <c r="A75" s="1214" t="s">
        <v>3000</v>
      </c>
      <c r="B75" s="1214" t="s">
        <v>2932</v>
      </c>
      <c r="C75" s="1213" t="s">
        <v>3491</v>
      </c>
      <c r="D75" s="1213" t="s">
        <v>2901</v>
      </c>
      <c r="E75" s="1215">
        <v>19079.93</v>
      </c>
      <c r="F75" s="1216">
        <v>-17234.669999999998</v>
      </c>
      <c r="G75" s="1213" t="s">
        <v>3001</v>
      </c>
      <c r="H75" s="1217">
        <v>127</v>
      </c>
    </row>
    <row r="76" spans="1:13">
      <c r="A76" s="1214" t="s">
        <v>3564</v>
      </c>
      <c r="B76" s="1214" t="s">
        <v>2932</v>
      </c>
      <c r="C76" s="1213" t="s">
        <v>3491</v>
      </c>
      <c r="D76" s="1213" t="s">
        <v>2901</v>
      </c>
      <c r="E76" s="1215">
        <v>20070</v>
      </c>
      <c r="F76" s="1216">
        <v>0</v>
      </c>
      <c r="G76" s="1213" t="s">
        <v>3565</v>
      </c>
      <c r="H76" s="1217">
        <v>21</v>
      </c>
    </row>
    <row r="77" spans="1:13">
      <c r="A77" s="1214" t="s">
        <v>3566</v>
      </c>
      <c r="B77" s="1214" t="s">
        <v>2932</v>
      </c>
      <c r="C77" s="1213" t="s">
        <v>3491</v>
      </c>
      <c r="D77" s="1213" t="s">
        <v>2901</v>
      </c>
      <c r="E77" s="1215">
        <v>21506.04</v>
      </c>
      <c r="F77" s="1218">
        <v>-19629.02</v>
      </c>
      <c r="G77" s="1213" t="s">
        <v>3567</v>
      </c>
      <c r="H77" s="1217">
        <v>35</v>
      </c>
    </row>
    <row r="78" spans="1:13">
      <c r="A78" s="1214" t="s">
        <v>2942</v>
      </c>
      <c r="B78" s="1214" t="s">
        <v>2932</v>
      </c>
      <c r="C78" s="1213" t="s">
        <v>3491</v>
      </c>
      <c r="D78" s="1213" t="s">
        <v>2901</v>
      </c>
      <c r="E78" s="1215">
        <v>21880.55</v>
      </c>
      <c r="F78" s="1218">
        <v>-16872.72</v>
      </c>
      <c r="G78" s="1213" t="s">
        <v>2943</v>
      </c>
      <c r="H78" s="1217">
        <v>199</v>
      </c>
    </row>
    <row r="79" spans="1:13">
      <c r="A79" s="1214" t="s">
        <v>3568</v>
      </c>
      <c r="B79" s="1214" t="s">
        <v>2932</v>
      </c>
      <c r="C79" s="1213" t="s">
        <v>3491</v>
      </c>
      <c r="D79" s="1213" t="s">
        <v>2901</v>
      </c>
      <c r="E79" s="1215">
        <v>22915</v>
      </c>
      <c r="F79" s="1216">
        <v>-17779</v>
      </c>
      <c r="G79" s="1213" t="s">
        <v>3569</v>
      </c>
      <c r="H79" s="1217">
        <v>24</v>
      </c>
    </row>
    <row r="80" spans="1:13">
      <c r="A80" s="1214" t="s">
        <v>2940</v>
      </c>
      <c r="B80" s="1214" t="s">
        <v>2932</v>
      </c>
      <c r="C80" s="1213" t="s">
        <v>3491</v>
      </c>
      <c r="D80" s="1213" t="s">
        <v>2901</v>
      </c>
      <c r="E80" s="1215">
        <v>22981.75</v>
      </c>
      <c r="F80" s="1218">
        <v>0</v>
      </c>
      <c r="G80" s="1213" t="s">
        <v>2941</v>
      </c>
      <c r="H80" s="1217">
        <v>214</v>
      </c>
    </row>
    <row r="81" spans="1:8">
      <c r="A81" s="1214" t="s">
        <v>3570</v>
      </c>
      <c r="B81" s="1214" t="s">
        <v>2932</v>
      </c>
      <c r="C81" s="1213" t="s">
        <v>3491</v>
      </c>
      <c r="D81" s="1213" t="s">
        <v>2901</v>
      </c>
      <c r="E81" s="1215">
        <v>24071</v>
      </c>
      <c r="F81" s="1216">
        <v>-16180</v>
      </c>
      <c r="G81" s="1213" t="s">
        <v>3571</v>
      </c>
      <c r="H81" s="1217">
        <v>35</v>
      </c>
    </row>
    <row r="82" spans="1:8">
      <c r="A82" s="1214" t="s">
        <v>3362</v>
      </c>
      <c r="B82" s="1214" t="s">
        <v>2932</v>
      </c>
      <c r="C82" s="1213" t="s">
        <v>3491</v>
      </c>
      <c r="D82" s="1213" t="s">
        <v>2901</v>
      </c>
      <c r="E82" s="1215">
        <v>24422.22</v>
      </c>
      <c r="F82" s="1216">
        <v>0</v>
      </c>
      <c r="G82" s="1213" t="s">
        <v>3363</v>
      </c>
      <c r="H82" s="1217">
        <v>64</v>
      </c>
    </row>
    <row r="83" spans="1:8">
      <c r="A83" s="1214" t="s">
        <v>3572</v>
      </c>
      <c r="B83" s="1214" t="s">
        <v>2932</v>
      </c>
      <c r="C83" s="1213" t="s">
        <v>3491</v>
      </c>
      <c r="D83" s="1213" t="s">
        <v>2901</v>
      </c>
      <c r="E83" s="1215">
        <v>25170</v>
      </c>
      <c r="F83" s="1216">
        <v>-17827.669999999998</v>
      </c>
      <c r="G83" s="1213" t="s">
        <v>3573</v>
      </c>
      <c r="H83" s="1217">
        <v>28</v>
      </c>
    </row>
    <row r="84" spans="1:8">
      <c r="A84" s="1214" t="s">
        <v>3385</v>
      </c>
      <c r="B84" s="1214" t="s">
        <v>2932</v>
      </c>
      <c r="C84" s="1213" t="s">
        <v>3491</v>
      </c>
      <c r="D84" s="1213" t="s">
        <v>2901</v>
      </c>
      <c r="E84" s="1215">
        <v>25397.62</v>
      </c>
      <c r="F84" s="1216">
        <v>0</v>
      </c>
      <c r="G84" s="1213" t="s">
        <v>3386</v>
      </c>
      <c r="H84" s="1217">
        <v>49</v>
      </c>
    </row>
    <row r="85" spans="1:8">
      <c r="A85" s="1214" t="s">
        <v>3399</v>
      </c>
      <c r="B85" s="1214" t="s">
        <v>2932</v>
      </c>
      <c r="C85" s="1213" t="s">
        <v>3491</v>
      </c>
      <c r="D85" s="1213" t="s">
        <v>2901</v>
      </c>
      <c r="E85" s="1215">
        <v>25732.61</v>
      </c>
      <c r="F85" s="1216">
        <v>-17910.09</v>
      </c>
      <c r="G85" s="1213" t="s">
        <v>3400</v>
      </c>
      <c r="H85" s="1217">
        <v>43</v>
      </c>
    </row>
    <row r="86" spans="1:8">
      <c r="A86" s="1214" t="s">
        <v>3360</v>
      </c>
      <c r="B86" s="1214" t="s">
        <v>2932</v>
      </c>
      <c r="C86" s="1213" t="s">
        <v>3491</v>
      </c>
      <c r="D86" s="1213" t="s">
        <v>2901</v>
      </c>
      <c r="E86" s="1215">
        <v>26130.59</v>
      </c>
      <c r="F86" s="1216">
        <v>-21600</v>
      </c>
      <c r="G86" s="1213" t="s">
        <v>3361</v>
      </c>
      <c r="H86" s="1217">
        <v>66</v>
      </c>
    </row>
    <row r="87" spans="1:8">
      <c r="A87" s="1214" t="s">
        <v>3574</v>
      </c>
      <c r="B87" s="1214" t="s">
        <v>2932</v>
      </c>
      <c r="C87" s="1213" t="s">
        <v>3491</v>
      </c>
      <c r="D87" s="1213" t="s">
        <v>2901</v>
      </c>
      <c r="E87" s="1215">
        <v>26915</v>
      </c>
      <c r="F87" s="1219">
        <v>-23850</v>
      </c>
      <c r="G87" s="1213" t="s">
        <v>3575</v>
      </c>
      <c r="H87" s="1217">
        <v>29</v>
      </c>
    </row>
    <row r="88" spans="1:8">
      <c r="A88" s="1214" t="s">
        <v>3272</v>
      </c>
      <c r="B88" s="1214" t="s">
        <v>2932</v>
      </c>
      <c r="C88" s="1213" t="s">
        <v>3491</v>
      </c>
      <c r="D88" s="1213" t="s">
        <v>2901</v>
      </c>
      <c r="E88" s="1215">
        <v>27967.29</v>
      </c>
      <c r="F88" s="1218">
        <v>-18124.310000000001</v>
      </c>
      <c r="G88" s="1213" t="s">
        <v>3273</v>
      </c>
      <c r="H88" s="1217">
        <v>71</v>
      </c>
    </row>
    <row r="89" spans="1:8">
      <c r="A89" s="1214" t="s">
        <v>3576</v>
      </c>
      <c r="B89" s="1214" t="s">
        <v>2932</v>
      </c>
      <c r="C89" s="1213" t="s">
        <v>3491</v>
      </c>
      <c r="D89" s="1213" t="s">
        <v>2901</v>
      </c>
      <c r="E89" s="1215">
        <v>28670</v>
      </c>
      <c r="F89" s="1218">
        <v>-25200</v>
      </c>
      <c r="G89" s="1213" t="s">
        <v>3577</v>
      </c>
      <c r="H89" s="1217">
        <v>10</v>
      </c>
    </row>
    <row r="90" spans="1:8">
      <c r="A90" s="1214" t="s">
        <v>3578</v>
      </c>
      <c r="B90" s="1214" t="s">
        <v>2932</v>
      </c>
      <c r="C90" s="1213" t="s">
        <v>3491</v>
      </c>
      <c r="D90" s="1213" t="s">
        <v>2901</v>
      </c>
      <c r="E90" s="1215">
        <v>28729.95</v>
      </c>
      <c r="F90" s="1216">
        <v>-21265</v>
      </c>
      <c r="G90" s="1213" t="s">
        <v>3579</v>
      </c>
      <c r="H90" s="1217">
        <v>9</v>
      </c>
    </row>
    <row r="91" spans="1:8">
      <c r="A91" s="1214" t="s">
        <v>3580</v>
      </c>
      <c r="B91" s="1214" t="s">
        <v>2932</v>
      </c>
      <c r="C91" s="1213" t="s">
        <v>3491</v>
      </c>
      <c r="D91" s="1213" t="s">
        <v>2901</v>
      </c>
      <c r="E91" s="1215">
        <v>29525</v>
      </c>
      <c r="F91" s="1216">
        <v>-19787.23</v>
      </c>
      <c r="G91" s="1213" t="s">
        <v>3581</v>
      </c>
      <c r="H91" s="1217">
        <v>14</v>
      </c>
    </row>
    <row r="92" spans="1:8">
      <c r="A92" s="1214" t="s">
        <v>3380</v>
      </c>
      <c r="B92" s="1214" t="s">
        <v>2932</v>
      </c>
      <c r="C92" s="1213" t="s">
        <v>3491</v>
      </c>
      <c r="D92" s="1213" t="s">
        <v>2901</v>
      </c>
      <c r="E92" s="1215">
        <v>30675</v>
      </c>
      <c r="F92" s="1216">
        <v>-27000</v>
      </c>
      <c r="G92" s="1213" t="s">
        <v>3381</v>
      </c>
      <c r="H92" s="1217">
        <v>52</v>
      </c>
    </row>
    <row r="93" spans="1:8">
      <c r="A93" s="1214" t="s">
        <v>3582</v>
      </c>
      <c r="B93" s="1214" t="s">
        <v>2932</v>
      </c>
      <c r="C93" s="1213" t="s">
        <v>3491</v>
      </c>
      <c r="D93" s="1213" t="s">
        <v>2901</v>
      </c>
      <c r="E93" s="1215">
        <v>32920.68</v>
      </c>
      <c r="F93" s="1216">
        <v>-19195</v>
      </c>
      <c r="G93" s="1213" t="s">
        <v>3583</v>
      </c>
      <c r="H93" s="1217">
        <v>31</v>
      </c>
    </row>
    <row r="94" spans="1:8">
      <c r="A94" s="1220" t="s">
        <v>3395</v>
      </c>
      <c r="B94" s="1220" t="s">
        <v>2933</v>
      </c>
      <c r="C94" s="1389" t="s">
        <v>3491</v>
      </c>
      <c r="D94" s="1389" t="s">
        <v>2901</v>
      </c>
      <c r="E94" s="1221">
        <v>27800</v>
      </c>
      <c r="F94" s="1221">
        <v>-24300</v>
      </c>
      <c r="G94" s="1220" t="s">
        <v>3396</v>
      </c>
      <c r="H94" s="1220">
        <v>45</v>
      </c>
    </row>
    <row r="95" spans="1:8">
      <c r="A95" s="1220" t="s">
        <v>3584</v>
      </c>
      <c r="B95" s="1220" t="s">
        <v>2933</v>
      </c>
      <c r="C95" s="1389" t="s">
        <v>3491</v>
      </c>
      <c r="D95" s="1389" t="s">
        <v>2901</v>
      </c>
      <c r="E95" s="1221">
        <v>29282.18</v>
      </c>
      <c r="F95" s="1221">
        <v>-23985</v>
      </c>
      <c r="G95" s="1220" t="s">
        <v>3585</v>
      </c>
      <c r="H95" s="1220">
        <v>37</v>
      </c>
    </row>
    <row r="96" spans="1:8">
      <c r="A96" s="1220" t="s">
        <v>3586</v>
      </c>
      <c r="B96" s="1220" t="s">
        <v>2933</v>
      </c>
      <c r="C96" s="1389" t="s">
        <v>3491</v>
      </c>
      <c r="D96" s="1389" t="s">
        <v>2901</v>
      </c>
      <c r="E96" s="1221">
        <v>30456.31</v>
      </c>
      <c r="F96" s="1221">
        <v>-24553.24</v>
      </c>
      <c r="G96" s="1220" t="s">
        <v>3587</v>
      </c>
      <c r="H96" s="1220">
        <v>42</v>
      </c>
    </row>
    <row r="97" spans="1:8">
      <c r="A97" s="1220" t="s">
        <v>3409</v>
      </c>
      <c r="B97" s="1220" t="s">
        <v>2933</v>
      </c>
      <c r="C97" s="1389" t="s">
        <v>3491</v>
      </c>
      <c r="D97" s="1389" t="s">
        <v>2901</v>
      </c>
      <c r="E97" s="1221">
        <v>33915</v>
      </c>
      <c r="F97" s="1221">
        <v>-26327.41</v>
      </c>
      <c r="G97" s="1220" t="s">
        <v>3410</v>
      </c>
      <c r="H97" s="1220">
        <v>41</v>
      </c>
    </row>
    <row r="98" spans="1:8">
      <c r="A98" s="1220" t="s">
        <v>3588</v>
      </c>
      <c r="B98" s="1220" t="s">
        <v>2936</v>
      </c>
      <c r="C98" s="1389" t="s">
        <v>3491</v>
      </c>
      <c r="D98" s="1389" t="s">
        <v>2901</v>
      </c>
      <c r="E98" s="1221">
        <v>32165</v>
      </c>
      <c r="F98" s="1221">
        <v>0</v>
      </c>
      <c r="G98" s="1220" t="s">
        <v>3589</v>
      </c>
      <c r="H98" s="1220">
        <v>2</v>
      </c>
    </row>
    <row r="99" spans="1:8">
      <c r="A99" s="1220" t="s">
        <v>3590</v>
      </c>
      <c r="B99" s="1220" t="s">
        <v>2936</v>
      </c>
      <c r="C99" s="1389" t="s">
        <v>3491</v>
      </c>
      <c r="D99" s="1389" t="s">
        <v>2901</v>
      </c>
      <c r="E99" s="1221">
        <v>35670</v>
      </c>
      <c r="F99" s="1221">
        <v>-31500</v>
      </c>
      <c r="G99" s="1220" t="s">
        <v>3591</v>
      </c>
      <c r="H99" s="1220">
        <v>15</v>
      </c>
    </row>
    <row r="100" spans="1:8">
      <c r="A100" s="1220" t="s">
        <v>3592</v>
      </c>
      <c r="B100" s="1220" t="s">
        <v>2936</v>
      </c>
      <c r="C100" s="1389" t="s">
        <v>3491</v>
      </c>
      <c r="D100" s="1389" t="s">
        <v>2901</v>
      </c>
      <c r="E100" s="1221">
        <v>37970</v>
      </c>
      <c r="F100" s="1221">
        <v>-33570</v>
      </c>
      <c r="G100" s="1220" t="s">
        <v>3593</v>
      </c>
      <c r="H100" s="1220">
        <v>17</v>
      </c>
    </row>
    <row r="101" spans="1:8">
      <c r="A101" s="1220" t="s">
        <v>3594</v>
      </c>
      <c r="B101" s="1220" t="s">
        <v>2936</v>
      </c>
      <c r="C101" s="1389" t="s">
        <v>3491</v>
      </c>
      <c r="D101" s="1389" t="s">
        <v>2901</v>
      </c>
      <c r="E101" s="1221">
        <v>38257.980000000003</v>
      </c>
      <c r="F101" s="1221">
        <v>-33300</v>
      </c>
      <c r="G101" s="1220" t="s">
        <v>3595</v>
      </c>
      <c r="H101" s="1220">
        <v>39</v>
      </c>
    </row>
    <row r="102" spans="1:8">
      <c r="A102" s="1220" t="s">
        <v>3596</v>
      </c>
      <c r="B102" s="1220" t="s">
        <v>2936</v>
      </c>
      <c r="C102" s="1389" t="s">
        <v>3491</v>
      </c>
      <c r="D102" s="1389" t="s">
        <v>2901</v>
      </c>
      <c r="E102" s="1221">
        <v>38997.07</v>
      </c>
      <c r="F102" s="1221">
        <v>-33750</v>
      </c>
      <c r="G102" s="1220" t="s">
        <v>3597</v>
      </c>
      <c r="H102" s="1220">
        <v>29</v>
      </c>
    </row>
    <row r="103" spans="1:8">
      <c r="A103" s="1220" t="s">
        <v>3598</v>
      </c>
      <c r="B103" s="1220" t="s">
        <v>2926</v>
      </c>
      <c r="C103" s="1389" t="s">
        <v>3491</v>
      </c>
      <c r="D103" s="1389" t="s">
        <v>2901</v>
      </c>
      <c r="E103" s="1221">
        <v>41972.12</v>
      </c>
      <c r="F103" s="1221">
        <v>-40709.589999999997</v>
      </c>
      <c r="G103" s="1220" t="s">
        <v>3599</v>
      </c>
      <c r="H103" s="1220">
        <v>16</v>
      </c>
    </row>
    <row r="104" spans="1:8">
      <c r="A104" s="1220" t="s">
        <v>3600</v>
      </c>
      <c r="B104" s="1220" t="s">
        <v>2935</v>
      </c>
      <c r="C104" s="1389" t="s">
        <v>3491</v>
      </c>
      <c r="D104" s="1389" t="s">
        <v>3601</v>
      </c>
      <c r="E104" s="1221">
        <v>36152.03</v>
      </c>
      <c r="F104" s="1221">
        <v>0</v>
      </c>
      <c r="G104" s="1220" t="s">
        <v>3602</v>
      </c>
      <c r="H104" s="1220">
        <v>25</v>
      </c>
    </row>
  </sheetData>
  <autoFilter ref="A1:H90">
    <sortState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3"/>
  <sheetViews>
    <sheetView topLeftCell="A40" workbookViewId="0">
      <selection activeCell="C64" sqref="C64"/>
    </sheetView>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14" t="str">
        <f>Parametres!$B$1&amp;" "&amp;"2 pager"&amp;" "&amp;Parametres!$B$3&amp;" "&amp;Parametres!$B$4</f>
        <v>Volks 2 pager Octobre 2022</v>
      </c>
      <c r="C1" s="1414"/>
      <c r="D1" s="1414"/>
      <c r="E1" s="1414"/>
      <c r="F1" s="1414"/>
      <c r="G1" s="1414"/>
      <c r="H1" s="1414"/>
      <c r="I1" s="1414"/>
      <c r="J1" s="1414"/>
      <c r="K1" s="1414"/>
      <c r="L1" s="1414"/>
      <c r="M1" s="1414"/>
    </row>
    <row r="2" spans="2:13">
      <c r="B2" s="647"/>
    </row>
    <row r="3" spans="2:13">
      <c r="B3" s="641" t="s">
        <v>1946</v>
      </c>
      <c r="C3" s="642" t="s">
        <v>1947</v>
      </c>
      <c r="D3" s="643" t="s">
        <v>1968</v>
      </c>
      <c r="E3" s="643" t="s">
        <v>6</v>
      </c>
      <c r="F3" s="644">
        <v>2021</v>
      </c>
      <c r="G3" s="645" t="s">
        <v>1971</v>
      </c>
      <c r="H3" s="643" t="s">
        <v>1969</v>
      </c>
      <c r="I3" s="646" t="s">
        <v>3244</v>
      </c>
      <c r="J3" s="645" t="s">
        <v>1972</v>
      </c>
      <c r="K3" s="643" t="s">
        <v>1970</v>
      </c>
      <c r="L3" s="646" t="s">
        <v>3245</v>
      </c>
      <c r="M3" s="641" t="s">
        <v>1965</v>
      </c>
    </row>
    <row r="4" spans="2:13">
      <c r="B4" s="632" t="s">
        <v>1948</v>
      </c>
      <c r="C4" s="653">
        <f>+Print_Mois!$J$13+Print_Mois!$J$15</f>
        <v>0</v>
      </c>
      <c r="D4" s="653">
        <f>+Print_Mois!$G$13+Print_Mois!$G$15</f>
        <v>75.88674698795181</v>
      </c>
      <c r="E4" s="653">
        <f>+Print_Mois!$D$13+Print_Mois!$D$15</f>
        <v>75.88674698795181</v>
      </c>
      <c r="F4" s="653">
        <f>+Print_Mois!$O$13+Print_Mois!$O$15</f>
        <v>76</v>
      </c>
      <c r="G4" s="655">
        <f>+IFERROR($C4-D4,"")</f>
        <v>-75.88674698795181</v>
      </c>
      <c r="H4" s="654">
        <f>+IFERROR($C4-E4,"")</f>
        <v>-75.88674698795181</v>
      </c>
      <c r="I4" s="656">
        <f>+IFERROR($C4-F4,"")</f>
        <v>-76</v>
      </c>
      <c r="J4" s="668">
        <f t="shared" ref="J4:J15" si="0">+IFERROR(G4/ABS($D4),"")</f>
        <v>-1</v>
      </c>
      <c r="K4" s="669">
        <f t="shared" ref="K4:K15" si="1">+IFERROR(H4/ABS($E4),"")</f>
        <v>-1</v>
      </c>
      <c r="L4" s="670">
        <f t="shared" ref="L4:L15" si="2">+IFERROR(I4/ABS($F4),"")</f>
        <v>-1</v>
      </c>
      <c r="M4" s="1411" t="s">
        <v>3603</v>
      </c>
    </row>
    <row r="5" spans="2:13">
      <c r="B5" s="633" t="s">
        <v>1949</v>
      </c>
      <c r="C5" s="1012">
        <f>+Print_Mois!$L$13+Print_Mois!$L$15</f>
        <v>0</v>
      </c>
      <c r="D5" s="1012">
        <f>+Print_Mois!$I$13+Print_Mois!$I$15</f>
        <v>143627.53533127854</v>
      </c>
      <c r="E5" s="1012">
        <f>+Print_Mois!$F$13+Print_Mois!$F$15</f>
        <v>143627.53533127854</v>
      </c>
      <c r="F5" s="1012">
        <f>+Print_Mois!$Q$13+Print_Mois!$Q$15</f>
        <v>154339.26000000018</v>
      </c>
      <c r="G5" s="1013">
        <f>+IFERROR($C5-D5,"")</f>
        <v>-143627.53533127854</v>
      </c>
      <c r="H5" s="1014">
        <f t="shared" ref="G5:I15" si="3">+IFERROR($C5-E5,"")</f>
        <v>-143627.53533127854</v>
      </c>
      <c r="I5" s="1015">
        <f t="shared" si="3"/>
        <v>-154339.26000000018</v>
      </c>
      <c r="J5" s="1016">
        <f t="shared" si="0"/>
        <v>-1</v>
      </c>
      <c r="K5" s="1017">
        <f t="shared" si="1"/>
        <v>-1</v>
      </c>
      <c r="L5" s="1018">
        <f t="shared" si="2"/>
        <v>-1</v>
      </c>
      <c r="M5" s="1412"/>
    </row>
    <row r="6" spans="2:13">
      <c r="B6" s="633" t="s">
        <v>1950</v>
      </c>
      <c r="C6" s="1012" t="e">
        <f>+C5/C4</f>
        <v>#DIV/0!</v>
      </c>
      <c r="D6" s="1012">
        <f t="shared" ref="D6:F6" si="4">+D5/D4</f>
        <v>1892.6563732410566</v>
      </c>
      <c r="E6" s="1012">
        <f t="shared" si="4"/>
        <v>1892.6563732410566</v>
      </c>
      <c r="F6" s="1012">
        <f t="shared" si="4"/>
        <v>2030.7797368421077</v>
      </c>
      <c r="G6" s="1013" t="str">
        <f t="shared" si="3"/>
        <v/>
      </c>
      <c r="H6" s="1014" t="str">
        <f t="shared" si="3"/>
        <v/>
      </c>
      <c r="I6" s="1015" t="str">
        <f t="shared" si="3"/>
        <v/>
      </c>
      <c r="J6" s="1016" t="str">
        <f t="shared" si="0"/>
        <v/>
      </c>
      <c r="K6" s="1017" t="str">
        <f t="shared" si="1"/>
        <v/>
      </c>
      <c r="L6" s="1018" t="str">
        <f t="shared" si="2"/>
        <v/>
      </c>
      <c r="M6" s="1412"/>
    </row>
    <row r="7" spans="2:13">
      <c r="B7" s="633" t="s">
        <v>1951</v>
      </c>
      <c r="C7" s="1012">
        <f>+Print_Mois!$L$31</f>
        <v>0</v>
      </c>
      <c r="D7" s="1012">
        <f>+Print_Mois!$I$31</f>
        <v>46433.991615439176</v>
      </c>
      <c r="E7" s="1012">
        <f>+Print_Mois!$F$31</f>
        <v>46433.991615439176</v>
      </c>
      <c r="F7" s="1012">
        <f>+Print_Mois!$Q$31</f>
        <v>47126.76</v>
      </c>
      <c r="G7" s="1013">
        <f t="shared" si="3"/>
        <v>-46433.991615439176</v>
      </c>
      <c r="H7" s="1014">
        <f t="shared" si="3"/>
        <v>-46433.991615439176</v>
      </c>
      <c r="I7" s="1015">
        <f t="shared" si="3"/>
        <v>-47126.76</v>
      </c>
      <c r="J7" s="1016">
        <f t="shared" si="0"/>
        <v>-1</v>
      </c>
      <c r="K7" s="1017">
        <f t="shared" si="1"/>
        <v>-1</v>
      </c>
      <c r="L7" s="1018">
        <f t="shared" si="2"/>
        <v>-1</v>
      </c>
      <c r="M7" s="1412"/>
    </row>
    <row r="8" spans="2:13">
      <c r="B8" s="633" t="s">
        <v>1952</v>
      </c>
      <c r="C8" s="1019" t="e">
        <f>+C7/C5</f>
        <v>#DIV/0!</v>
      </c>
      <c r="D8" s="1019">
        <f t="shared" ref="D8:F8" si="5">+D7/D5</f>
        <v>0.3232944957827108</v>
      </c>
      <c r="E8" s="1019">
        <f t="shared" si="5"/>
        <v>0.3232944957827108</v>
      </c>
      <c r="F8" s="1019">
        <f t="shared" si="5"/>
        <v>0.30534525045668837</v>
      </c>
      <c r="G8" s="1020" t="str">
        <f t="shared" si="3"/>
        <v/>
      </c>
      <c r="H8" s="1021" t="str">
        <f t="shared" si="3"/>
        <v/>
      </c>
      <c r="I8" s="1022" t="str">
        <f t="shared" si="3"/>
        <v/>
      </c>
      <c r="J8" s="1016" t="str">
        <f t="shared" si="0"/>
        <v/>
      </c>
      <c r="K8" s="1017" t="str">
        <f t="shared" si="1"/>
        <v/>
      </c>
      <c r="L8" s="1018" t="str">
        <f t="shared" si="2"/>
        <v/>
      </c>
      <c r="M8" s="1412"/>
    </row>
    <row r="9" spans="2:13">
      <c r="B9" s="633" t="s">
        <v>1953</v>
      </c>
      <c r="C9" s="1012">
        <f>+Print_Mois!$L$24</f>
        <v>0</v>
      </c>
      <c r="D9" s="1012">
        <f>+Print_Mois!$I$24</f>
        <v>64503.73493975903</v>
      </c>
      <c r="E9" s="1012">
        <f>+Print_Mois!$F$24</f>
        <v>64503.73493975903</v>
      </c>
      <c r="F9" s="1012">
        <f>+Print_Mois!$Q$24</f>
        <v>54551.67</v>
      </c>
      <c r="G9" s="1013">
        <f t="shared" si="3"/>
        <v>-64503.73493975903</v>
      </c>
      <c r="H9" s="1014">
        <f t="shared" si="3"/>
        <v>-64503.73493975903</v>
      </c>
      <c r="I9" s="1015">
        <f t="shared" si="3"/>
        <v>-54551.67</v>
      </c>
      <c r="J9" s="1016">
        <f t="shared" si="0"/>
        <v>-1</v>
      </c>
      <c r="K9" s="1017">
        <f t="shared" si="1"/>
        <v>-1</v>
      </c>
      <c r="L9" s="1018">
        <f t="shared" si="2"/>
        <v>-1</v>
      </c>
      <c r="M9" s="1412"/>
    </row>
    <row r="10" spans="2:13">
      <c r="B10" s="633" t="s">
        <v>1954</v>
      </c>
      <c r="C10" s="1012" t="e">
        <f>+C9/C4</f>
        <v>#DIV/0!</v>
      </c>
      <c r="D10" s="1012">
        <f t="shared" ref="D10:F10" si="6">+D9/D4</f>
        <v>849.99999999999989</v>
      </c>
      <c r="E10" s="1012">
        <f t="shared" si="6"/>
        <v>849.99999999999989</v>
      </c>
      <c r="F10" s="1012">
        <f t="shared" si="6"/>
        <v>717.78513157894736</v>
      </c>
      <c r="G10" s="1013" t="str">
        <f t="shared" si="3"/>
        <v/>
      </c>
      <c r="H10" s="1014" t="str">
        <f t="shared" si="3"/>
        <v/>
      </c>
      <c r="I10" s="1015" t="str">
        <f t="shared" si="3"/>
        <v/>
      </c>
      <c r="J10" s="1016" t="str">
        <f t="shared" si="0"/>
        <v/>
      </c>
      <c r="K10" s="1017" t="str">
        <f t="shared" si="1"/>
        <v/>
      </c>
      <c r="L10" s="1018" t="str">
        <f t="shared" si="2"/>
        <v/>
      </c>
      <c r="M10" s="1412"/>
    </row>
    <row r="11" spans="2:13">
      <c r="B11" s="633" t="s">
        <v>1955</v>
      </c>
      <c r="C11" s="1012">
        <f>+Print_Mois!$L$32</f>
        <v>0</v>
      </c>
      <c r="D11" s="1012">
        <f>+Print_Mois!$I$32</f>
        <v>19351.120481927708</v>
      </c>
      <c r="E11" s="1012">
        <f>+Print_Mois!$F$32</f>
        <v>19351.120481927708</v>
      </c>
      <c r="F11" s="1012">
        <f>+Print_Mois!$Q$32</f>
        <v>16365.11</v>
      </c>
      <c r="G11" s="1013">
        <f t="shared" si="3"/>
        <v>-19351.120481927708</v>
      </c>
      <c r="H11" s="1014">
        <f t="shared" si="3"/>
        <v>-19351.120481927708</v>
      </c>
      <c r="I11" s="1015">
        <f t="shared" si="3"/>
        <v>-16365.11</v>
      </c>
      <c r="J11" s="1016">
        <f t="shared" si="0"/>
        <v>-1</v>
      </c>
      <c r="K11" s="1017">
        <f t="shared" si="1"/>
        <v>-1</v>
      </c>
      <c r="L11" s="1018">
        <f t="shared" si="2"/>
        <v>-1</v>
      </c>
      <c r="M11" s="1412"/>
    </row>
    <row r="12" spans="2:13">
      <c r="B12" s="633" t="s">
        <v>1956</v>
      </c>
      <c r="C12" s="1019" t="e">
        <f>+C11/C9</f>
        <v>#DIV/0!</v>
      </c>
      <c r="D12" s="1019">
        <f t="shared" ref="D12:F12" si="7">+D11/D9</f>
        <v>0.3</v>
      </c>
      <c r="E12" s="1019">
        <f t="shared" si="7"/>
        <v>0.3</v>
      </c>
      <c r="F12" s="1019">
        <f t="shared" si="7"/>
        <v>0.29999283248340519</v>
      </c>
      <c r="G12" s="1023" t="str">
        <f t="shared" si="3"/>
        <v/>
      </c>
      <c r="H12" s="1017" t="str">
        <f t="shared" si="3"/>
        <v/>
      </c>
      <c r="I12" s="1024" t="str">
        <f t="shared" si="3"/>
        <v/>
      </c>
      <c r="J12" s="1016" t="str">
        <f t="shared" si="0"/>
        <v/>
      </c>
      <c r="K12" s="1017" t="str">
        <f t="shared" si="1"/>
        <v/>
      </c>
      <c r="L12" s="1018" t="str">
        <f t="shared" si="2"/>
        <v/>
      </c>
      <c r="M12" s="1412"/>
    </row>
    <row r="13" spans="2:13">
      <c r="B13" s="633" t="s">
        <v>1957</v>
      </c>
      <c r="C13" s="1012">
        <f>+Print_Mois!$L$41-C7-C11</f>
        <v>0</v>
      </c>
      <c r="D13" s="1012">
        <f>+Print_Mois!$I$41-D7-D11</f>
        <v>36916.039144857379</v>
      </c>
      <c r="E13" s="1012">
        <f>+Print_Mois!$F$41-E7-E11</f>
        <v>36916.039144857379</v>
      </c>
      <c r="F13" s="1012">
        <f>+Print_Mois!$Q$41-F7-F11</f>
        <v>46557.19999999999</v>
      </c>
      <c r="G13" s="1013">
        <f t="shared" si="3"/>
        <v>-36916.039144857379</v>
      </c>
      <c r="H13" s="1014">
        <f t="shared" si="3"/>
        <v>-36916.039144857379</v>
      </c>
      <c r="I13" s="1015">
        <f t="shared" si="3"/>
        <v>-46557.19999999999</v>
      </c>
      <c r="J13" s="1016">
        <f t="shared" si="0"/>
        <v>-1</v>
      </c>
      <c r="K13" s="1017">
        <f t="shared" si="1"/>
        <v>-1</v>
      </c>
      <c r="L13" s="1018">
        <f t="shared" si="2"/>
        <v>-1</v>
      </c>
      <c r="M13" s="1412"/>
    </row>
    <row r="14" spans="2:13">
      <c r="B14" s="633" t="s">
        <v>1958</v>
      </c>
      <c r="C14" s="1012" t="e">
        <f>+C13/C4</f>
        <v>#DIV/0!</v>
      </c>
      <c r="D14" s="1012">
        <f t="shared" ref="D14:F14" si="8">+D13/D4</f>
        <v>486.46226923811042</v>
      </c>
      <c r="E14" s="1012">
        <f t="shared" si="8"/>
        <v>486.46226923811042</v>
      </c>
      <c r="F14" s="1012">
        <f t="shared" si="8"/>
        <v>612.59473684210514</v>
      </c>
      <c r="G14" s="1013" t="str">
        <f t="shared" si="3"/>
        <v/>
      </c>
      <c r="H14" s="1014" t="str">
        <f t="shared" si="3"/>
        <v/>
      </c>
      <c r="I14" s="1015" t="str">
        <f t="shared" si="3"/>
        <v/>
      </c>
      <c r="J14" s="1016" t="str">
        <f t="shared" si="0"/>
        <v/>
      </c>
      <c r="K14" s="1017" t="str">
        <f t="shared" si="1"/>
        <v/>
      </c>
      <c r="L14" s="1018" t="str">
        <f t="shared" si="2"/>
        <v/>
      </c>
      <c r="M14" s="1412"/>
    </row>
    <row r="15" spans="2:13">
      <c r="B15" s="633" t="s">
        <v>1959</v>
      </c>
      <c r="C15" s="1012">
        <f>+Print_Mois!$L$83</f>
        <v>0</v>
      </c>
      <c r="D15" s="1012">
        <f>+Print_Mois!$I$83</f>
        <v>108216.04294119839</v>
      </c>
      <c r="E15" s="1012">
        <f>+Print_Mois!$F$83</f>
        <v>108216.04294119839</v>
      </c>
      <c r="F15" s="1012">
        <f>+Print_Mois!$Q$83</f>
        <v>78725.14</v>
      </c>
      <c r="G15" s="1013">
        <f t="shared" si="3"/>
        <v>-108216.04294119839</v>
      </c>
      <c r="H15" s="1014">
        <f t="shared" si="3"/>
        <v>-108216.04294119839</v>
      </c>
      <c r="I15" s="1015">
        <f t="shared" si="3"/>
        <v>-78725.14</v>
      </c>
      <c r="J15" s="1016">
        <f t="shared" si="0"/>
        <v>-1</v>
      </c>
      <c r="K15" s="1017">
        <f t="shared" si="1"/>
        <v>-1</v>
      </c>
      <c r="L15" s="1018">
        <f t="shared" si="2"/>
        <v>-1</v>
      </c>
      <c r="M15" s="1412"/>
    </row>
    <row r="16" spans="2:13">
      <c r="B16" s="635" t="s">
        <v>1960</v>
      </c>
      <c r="C16" s="1025"/>
      <c r="D16" s="1025"/>
      <c r="E16" s="1025"/>
      <c r="F16" s="1025"/>
      <c r="G16" s="1026"/>
      <c r="H16" s="1027"/>
      <c r="I16" s="1028"/>
      <c r="J16" s="1029"/>
      <c r="K16" s="1030"/>
      <c r="L16" s="1031"/>
      <c r="M16" s="1412"/>
    </row>
    <row r="17" spans="2:13">
      <c r="B17" s="1359" t="s">
        <v>1948</v>
      </c>
      <c r="C17" s="1363">
        <f>Inventaire_Neuf!L3</f>
        <v>29</v>
      </c>
      <c r="D17" s="1363">
        <v>61</v>
      </c>
      <c r="E17" s="1363">
        <v>61</v>
      </c>
      <c r="F17" s="1363">
        <v>164</v>
      </c>
      <c r="G17" s="1013">
        <f t="shared" ref="G17:I18" si="9">+IFERROR($C17-D17,"")</f>
        <v>-32</v>
      </c>
      <c r="H17" s="1014">
        <f t="shared" si="9"/>
        <v>-32</v>
      </c>
      <c r="I17" s="1015">
        <f t="shared" si="9"/>
        <v>-135</v>
      </c>
      <c r="J17" s="1016">
        <f>+IFERROR(G17/ABS($D17),"")</f>
        <v>-0.52459016393442626</v>
      </c>
      <c r="K17" s="1017">
        <f>+IFERROR(H17/ABS($E17),"")</f>
        <v>-0.52459016393442626</v>
      </c>
      <c r="L17" s="1018">
        <f>+IFERROR(I17/ABS($F17),"")</f>
        <v>-0.82317073170731703</v>
      </c>
      <c r="M17" s="1412"/>
    </row>
    <row r="18" spans="2:13">
      <c r="B18" s="1361" t="s">
        <v>1913</v>
      </c>
      <c r="C18" s="1364">
        <f>Inventaire_Neuf!L2</f>
        <v>1188579.01</v>
      </c>
      <c r="D18" s="1365">
        <v>2233570</v>
      </c>
      <c r="E18" s="1365">
        <v>2233570</v>
      </c>
      <c r="F18" s="1364">
        <v>5689693.1799999997</v>
      </c>
      <c r="G18" s="1032">
        <f t="shared" si="9"/>
        <v>-1044990.99</v>
      </c>
      <c r="H18" s="1033">
        <f t="shared" si="9"/>
        <v>-1044990.99</v>
      </c>
      <c r="I18" s="1034">
        <f t="shared" si="9"/>
        <v>-4501114.17</v>
      </c>
      <c r="J18" s="1035">
        <f>+IFERROR(G18/ABS($D18),"")</f>
        <v>-0.46785683457424659</v>
      </c>
      <c r="K18" s="1036">
        <f>+IFERROR(H18/ABS($E18),"")</f>
        <v>-0.46785683457424659</v>
      </c>
      <c r="L18" s="1037">
        <f>+IFERROR(I18/ABS($F18),"")</f>
        <v>-0.79109963008585293</v>
      </c>
      <c r="M18" s="1413"/>
    </row>
    <row r="19" spans="2:13">
      <c r="C19" s="1091">
        <f>C18/C17</f>
        <v>40985.483103448278</v>
      </c>
      <c r="D19" s="1091">
        <f>D18/D17</f>
        <v>36615.901639344265</v>
      </c>
      <c r="E19" s="1091">
        <f>E18/E17</f>
        <v>36615.901639344265</v>
      </c>
      <c r="F19" s="1091">
        <f>F18/F17</f>
        <v>34693.251097560977</v>
      </c>
      <c r="G19" s="1038"/>
      <c r="H19" s="1038"/>
      <c r="I19" s="1038"/>
      <c r="J19" s="1038"/>
      <c r="K19" s="1038"/>
      <c r="L19" s="1038"/>
      <c r="M19" s="159"/>
    </row>
    <row r="20" spans="2:13">
      <c r="B20" s="636" t="s">
        <v>1944</v>
      </c>
      <c r="C20" s="637" t="s">
        <v>1947</v>
      </c>
      <c r="D20" s="637" t="s">
        <v>1968</v>
      </c>
      <c r="E20" s="637" t="s">
        <v>6</v>
      </c>
      <c r="F20" s="637">
        <v>2021</v>
      </c>
      <c r="G20" s="639" t="s">
        <v>1971</v>
      </c>
      <c r="H20" s="638" t="s">
        <v>1969</v>
      </c>
      <c r="I20" s="640" t="s">
        <v>3244</v>
      </c>
      <c r="J20" s="639" t="s">
        <v>1972</v>
      </c>
      <c r="K20" s="638" t="s">
        <v>1970</v>
      </c>
      <c r="L20" s="640" t="s">
        <v>3245</v>
      </c>
      <c r="M20" s="1056" t="s">
        <v>1965</v>
      </c>
    </row>
    <row r="21" spans="2:13">
      <c r="B21" s="632" t="s">
        <v>1948</v>
      </c>
      <c r="C21" s="653">
        <f>+Print_Mois!$J$96</f>
        <v>0</v>
      </c>
      <c r="D21" s="653">
        <f>+Print_Mois!$G$96</f>
        <v>41.067961165048544</v>
      </c>
      <c r="E21" s="653">
        <f>+Print_Mois!$D$96</f>
        <v>41.067961165048544</v>
      </c>
      <c r="F21" s="653">
        <f>+Print_Mois!$O$96</f>
        <v>34</v>
      </c>
      <c r="G21" s="655">
        <f t="shared" ref="G21:I32" si="10">+IFERROR($C21-D21,"")</f>
        <v>-41.067961165048544</v>
      </c>
      <c r="H21" s="654">
        <f t="shared" si="10"/>
        <v>-41.067961165048544</v>
      </c>
      <c r="I21" s="656">
        <f t="shared" si="10"/>
        <v>-34</v>
      </c>
      <c r="J21" s="668">
        <f t="shared" ref="J21:J32" si="11">+IFERROR(G21/ABS($D21),"")</f>
        <v>-1</v>
      </c>
      <c r="K21" s="669">
        <f t="shared" ref="K21:K32" si="12">+IFERROR(H21/ABS($E21),"")</f>
        <v>-1</v>
      </c>
      <c r="L21" s="670">
        <f t="shared" ref="L21:L32" si="13">+IFERROR(I21/ABS($F21),"")</f>
        <v>-1</v>
      </c>
      <c r="M21" s="1411" t="s">
        <v>3604</v>
      </c>
    </row>
    <row r="22" spans="2:13">
      <c r="B22" s="633" t="s">
        <v>1949</v>
      </c>
      <c r="C22" s="1012">
        <f>+Print_Mois!$L$96</f>
        <v>0</v>
      </c>
      <c r="D22" s="1012">
        <f>+Print_Mois!$I$96</f>
        <v>52514.563106796115</v>
      </c>
      <c r="E22" s="1012">
        <f>+Print_Mois!$F$96</f>
        <v>52514.563106796115</v>
      </c>
      <c r="F22" s="1012">
        <f>+Print_Mois!$Q$96</f>
        <v>44053.509999999929</v>
      </c>
      <c r="G22" s="1013">
        <f t="shared" si="10"/>
        <v>-52514.563106796115</v>
      </c>
      <c r="H22" s="1014">
        <f t="shared" si="10"/>
        <v>-52514.563106796115</v>
      </c>
      <c r="I22" s="1015">
        <f t="shared" si="10"/>
        <v>-44053.509999999929</v>
      </c>
      <c r="J22" s="1016">
        <f t="shared" si="11"/>
        <v>-1</v>
      </c>
      <c r="K22" s="1017">
        <f t="shared" si="12"/>
        <v>-1</v>
      </c>
      <c r="L22" s="1018">
        <f t="shared" si="13"/>
        <v>-1</v>
      </c>
      <c r="M22" s="1412"/>
    </row>
    <row r="23" spans="2:13">
      <c r="B23" s="633" t="s">
        <v>1950</v>
      </c>
      <c r="C23" s="1012" t="e">
        <f>+C22/C21</f>
        <v>#DIV/0!</v>
      </c>
      <c r="D23" s="1012">
        <f t="shared" ref="D23:F23" si="14">+D22/D21</f>
        <v>1278.7234042553191</v>
      </c>
      <c r="E23" s="1012">
        <f t="shared" si="14"/>
        <v>1278.7234042553191</v>
      </c>
      <c r="F23" s="1012">
        <f t="shared" si="14"/>
        <v>1295.6914705882332</v>
      </c>
      <c r="G23" s="1013" t="str">
        <f t="shared" si="10"/>
        <v/>
      </c>
      <c r="H23" s="1014" t="str">
        <f t="shared" si="10"/>
        <v/>
      </c>
      <c r="I23" s="1015" t="str">
        <f t="shared" si="10"/>
        <v/>
      </c>
      <c r="J23" s="1016" t="str">
        <f t="shared" si="11"/>
        <v/>
      </c>
      <c r="K23" s="1017" t="str">
        <f t="shared" si="12"/>
        <v/>
      </c>
      <c r="L23" s="1018" t="str">
        <f t="shared" si="13"/>
        <v/>
      </c>
      <c r="M23" s="1412"/>
    </row>
    <row r="24" spans="2:13">
      <c r="B24" s="633" t="s">
        <v>1951</v>
      </c>
      <c r="C24" s="1012">
        <f>+Print_Mois!$L$111</f>
        <v>0</v>
      </c>
      <c r="D24" s="1012">
        <f>+Print_Mois!$I$111</f>
        <v>20669.927184466018</v>
      </c>
      <c r="E24" s="1012">
        <f>+Print_Mois!$F$111</f>
        <v>20669.927184466018</v>
      </c>
      <c r="F24" s="1012">
        <f>+Print_Mois!$Q$111</f>
        <v>17065.98</v>
      </c>
      <c r="G24" s="1013">
        <f t="shared" si="10"/>
        <v>-20669.927184466018</v>
      </c>
      <c r="H24" s="1014">
        <f t="shared" si="10"/>
        <v>-20669.927184466018</v>
      </c>
      <c r="I24" s="1015">
        <f t="shared" si="10"/>
        <v>-17065.98</v>
      </c>
      <c r="J24" s="1016">
        <f t="shared" si="11"/>
        <v>-1</v>
      </c>
      <c r="K24" s="1017">
        <f t="shared" si="12"/>
        <v>-1</v>
      </c>
      <c r="L24" s="1018">
        <f t="shared" si="13"/>
        <v>-1</v>
      </c>
      <c r="M24" s="1412"/>
    </row>
    <row r="25" spans="2:13">
      <c r="B25" s="633" t="s">
        <v>1952</v>
      </c>
      <c r="C25" s="1019" t="e">
        <f>+C24/C22</f>
        <v>#DIV/0!</v>
      </c>
      <c r="D25" s="1019">
        <f t="shared" ref="D25:E25" si="15">+D24/D22</f>
        <v>0.39360371602884081</v>
      </c>
      <c r="E25" s="1019">
        <f t="shared" si="15"/>
        <v>0.39360371602884081</v>
      </c>
      <c r="F25" s="1019">
        <f>+F24/F22</f>
        <v>0.38739206024673239</v>
      </c>
      <c r="G25" s="1020" t="str">
        <f t="shared" si="10"/>
        <v/>
      </c>
      <c r="H25" s="1021" t="str">
        <f t="shared" si="10"/>
        <v/>
      </c>
      <c r="I25" s="1022" t="str">
        <f t="shared" si="10"/>
        <v/>
      </c>
      <c r="J25" s="1016" t="str">
        <f t="shared" si="11"/>
        <v/>
      </c>
      <c r="K25" s="1017" t="str">
        <f t="shared" si="12"/>
        <v/>
      </c>
      <c r="L25" s="1018" t="str">
        <f t="shared" si="13"/>
        <v/>
      </c>
      <c r="M25" s="1412"/>
    </row>
    <row r="26" spans="2:13">
      <c r="B26" s="633" t="s">
        <v>1953</v>
      </c>
      <c r="C26" s="1012">
        <f>+Print_Mois!$L$104</f>
        <v>0</v>
      </c>
      <c r="D26" s="1012">
        <f>+Print_Mois!$I$104</f>
        <v>76130.094389716964</v>
      </c>
      <c r="E26" s="1012">
        <f>+Print_Mois!$F$104</f>
        <v>76130.094389716964</v>
      </c>
      <c r="F26" s="1012">
        <f>+Print_Mois!$Q$104</f>
        <v>81217.3</v>
      </c>
      <c r="G26" s="1013">
        <f t="shared" si="10"/>
        <v>-76130.094389716964</v>
      </c>
      <c r="H26" s="1014">
        <f t="shared" si="10"/>
        <v>-76130.094389716964</v>
      </c>
      <c r="I26" s="1015">
        <f t="shared" si="10"/>
        <v>-81217.3</v>
      </c>
      <c r="J26" s="1016">
        <f t="shared" si="11"/>
        <v>-1</v>
      </c>
      <c r="K26" s="1017">
        <f t="shared" si="12"/>
        <v>-1</v>
      </c>
      <c r="L26" s="1018">
        <f t="shared" si="13"/>
        <v>-1</v>
      </c>
      <c r="M26" s="1412"/>
    </row>
    <row r="27" spans="2:13">
      <c r="B27" s="633" t="s">
        <v>1954</v>
      </c>
      <c r="C27" s="1012" t="e">
        <f>+C26/C21</f>
        <v>#DIV/0!</v>
      </c>
      <c r="D27" s="1012">
        <f t="shared" ref="D27:F27" si="16">+D26/D21</f>
        <v>1853.758799560484</v>
      </c>
      <c r="E27" s="1012">
        <f t="shared" si="16"/>
        <v>1853.758799560484</v>
      </c>
      <c r="F27" s="1012">
        <f t="shared" si="16"/>
        <v>2388.7441176470588</v>
      </c>
      <c r="G27" s="1013" t="str">
        <f t="shared" si="10"/>
        <v/>
      </c>
      <c r="H27" s="1014" t="str">
        <f t="shared" si="10"/>
        <v/>
      </c>
      <c r="I27" s="1015" t="str">
        <f t="shared" si="10"/>
        <v/>
      </c>
      <c r="J27" s="1016" t="str">
        <f t="shared" si="11"/>
        <v/>
      </c>
      <c r="K27" s="1017" t="str">
        <f t="shared" si="12"/>
        <v/>
      </c>
      <c r="L27" s="1018" t="str">
        <f t="shared" si="13"/>
        <v/>
      </c>
      <c r="M27" s="1412"/>
    </row>
    <row r="28" spans="2:13">
      <c r="B28" s="633" t="s">
        <v>1955</v>
      </c>
      <c r="C28" s="1012">
        <f>+Print_Mois!$L$112</f>
        <v>0</v>
      </c>
      <c r="D28" s="1012">
        <f>+Print_Mois!$I$112</f>
        <v>22839.02831691509</v>
      </c>
      <c r="E28" s="1012">
        <f>+Print_Mois!$F$112</f>
        <v>22839.02831691509</v>
      </c>
      <c r="F28" s="1012">
        <f>+Print_Mois!$Q$112</f>
        <v>24365.25</v>
      </c>
      <c r="G28" s="1013">
        <f t="shared" si="10"/>
        <v>-22839.02831691509</v>
      </c>
      <c r="H28" s="1014">
        <f t="shared" si="10"/>
        <v>-22839.02831691509</v>
      </c>
      <c r="I28" s="1015">
        <f t="shared" si="10"/>
        <v>-24365.25</v>
      </c>
      <c r="J28" s="1016">
        <f t="shared" si="11"/>
        <v>-1</v>
      </c>
      <c r="K28" s="1017">
        <f t="shared" si="12"/>
        <v>-1</v>
      </c>
      <c r="L28" s="1018">
        <f t="shared" si="13"/>
        <v>-1</v>
      </c>
      <c r="M28" s="1412"/>
    </row>
    <row r="29" spans="2:13">
      <c r="B29" s="633" t="s">
        <v>1956</v>
      </c>
      <c r="C29" s="1019" t="e">
        <f>+C28/C26</f>
        <v>#DIV/0!</v>
      </c>
      <c r="D29" s="1019">
        <f t="shared" ref="D29:F29" si="17">+D28/D26</f>
        <v>0.3</v>
      </c>
      <c r="E29" s="1019">
        <f t="shared" si="17"/>
        <v>0.3</v>
      </c>
      <c r="F29" s="1019">
        <f t="shared" si="17"/>
        <v>0.30000073875886046</v>
      </c>
      <c r="G29" s="1023" t="str">
        <f t="shared" si="10"/>
        <v/>
      </c>
      <c r="H29" s="1017" t="str">
        <f t="shared" si="10"/>
        <v/>
      </c>
      <c r="I29" s="1024" t="str">
        <f t="shared" si="10"/>
        <v/>
      </c>
      <c r="J29" s="1016" t="str">
        <f t="shared" si="11"/>
        <v/>
      </c>
      <c r="K29" s="1017" t="str">
        <f t="shared" si="12"/>
        <v/>
      </c>
      <c r="L29" s="1018" t="str">
        <f t="shared" si="13"/>
        <v/>
      </c>
      <c r="M29" s="1412"/>
    </row>
    <row r="30" spans="2:13">
      <c r="B30" s="633" t="s">
        <v>1957</v>
      </c>
      <c r="C30" s="1012">
        <f>+Print_Mois!$L$121-C24-C28</f>
        <v>0</v>
      </c>
      <c r="D30" s="1012">
        <f>+Print_Mois!$I$121-D24-D28</f>
        <v>10440.525690542727</v>
      </c>
      <c r="E30" s="1012">
        <f>+Print_Mois!$F$121-E24-E28</f>
        <v>10440.525690542727</v>
      </c>
      <c r="F30" s="1012">
        <f>+Print_Mois!$Q$121-F24-F28</f>
        <v>14080.069999999992</v>
      </c>
      <c r="G30" s="1013">
        <f t="shared" si="10"/>
        <v>-10440.525690542727</v>
      </c>
      <c r="H30" s="1014">
        <f t="shared" si="10"/>
        <v>-10440.525690542727</v>
      </c>
      <c r="I30" s="1015">
        <f t="shared" si="10"/>
        <v>-14080.069999999992</v>
      </c>
      <c r="J30" s="1016">
        <f t="shared" si="11"/>
        <v>-1</v>
      </c>
      <c r="K30" s="1017">
        <f t="shared" si="12"/>
        <v>-1</v>
      </c>
      <c r="L30" s="1018">
        <f t="shared" si="13"/>
        <v>-1</v>
      </c>
      <c r="M30" s="1412"/>
    </row>
    <row r="31" spans="2:13">
      <c r="B31" s="633" t="s">
        <v>1958</v>
      </c>
      <c r="C31" s="1012" t="e">
        <f>+C30/C21</f>
        <v>#DIV/0!</v>
      </c>
      <c r="D31" s="1012">
        <f t="shared" ref="D31:F31" si="18">+D30/D21</f>
        <v>254.22556646002383</v>
      </c>
      <c r="E31" s="1012">
        <f t="shared" si="18"/>
        <v>254.22556646002383</v>
      </c>
      <c r="F31" s="1012">
        <f t="shared" si="18"/>
        <v>414.11970588235272</v>
      </c>
      <c r="G31" s="1013" t="str">
        <f t="shared" si="10"/>
        <v/>
      </c>
      <c r="H31" s="1014" t="str">
        <f t="shared" si="10"/>
        <v/>
      </c>
      <c r="I31" s="1015" t="str">
        <f t="shared" si="10"/>
        <v/>
      </c>
      <c r="J31" s="1016" t="str">
        <f t="shared" si="11"/>
        <v/>
      </c>
      <c r="K31" s="1017" t="str">
        <f t="shared" si="12"/>
        <v/>
      </c>
      <c r="L31" s="1018" t="str">
        <f t="shared" si="13"/>
        <v/>
      </c>
      <c r="M31" s="1412"/>
    </row>
    <row r="32" spans="2:13">
      <c r="B32" s="633" t="s">
        <v>1959</v>
      </c>
      <c r="C32" s="1012">
        <f>+Print_Mois!$L$162</f>
        <v>0</v>
      </c>
      <c r="D32" s="1012">
        <f>+Print_Mois!$I$162</f>
        <v>14747.504854368934</v>
      </c>
      <c r="E32" s="1012">
        <f>+Print_Mois!$F$162</f>
        <v>14747.504854368934</v>
      </c>
      <c r="F32" s="1012">
        <f>+Print_Mois!$Q$162</f>
        <v>11866</v>
      </c>
      <c r="G32" s="1013">
        <f t="shared" si="10"/>
        <v>-14747.504854368934</v>
      </c>
      <c r="H32" s="1014">
        <f t="shared" si="10"/>
        <v>-14747.504854368934</v>
      </c>
      <c r="I32" s="1015">
        <f t="shared" si="10"/>
        <v>-11866</v>
      </c>
      <c r="J32" s="1016">
        <f t="shared" si="11"/>
        <v>-1</v>
      </c>
      <c r="K32" s="1017">
        <f t="shared" si="12"/>
        <v>-1</v>
      </c>
      <c r="L32" s="1018">
        <f t="shared" si="13"/>
        <v>-1</v>
      </c>
      <c r="M32" s="1412"/>
    </row>
    <row r="33" spans="2:13">
      <c r="B33" s="635" t="s">
        <v>1960</v>
      </c>
      <c r="C33" s="1025"/>
      <c r="D33" s="1025"/>
      <c r="E33" s="1025"/>
      <c r="F33" s="1025"/>
      <c r="G33" s="1026"/>
      <c r="H33" s="1027"/>
      <c r="I33" s="1028"/>
      <c r="J33" s="1029"/>
      <c r="K33" s="1030"/>
      <c r="L33" s="1031"/>
      <c r="M33" s="1412"/>
    </row>
    <row r="34" spans="2:13">
      <c r="B34" s="1359" t="s">
        <v>1948</v>
      </c>
      <c r="C34" s="1360">
        <f>Inventaire_Used!L3</f>
        <v>103</v>
      </c>
      <c r="D34" s="1360">
        <v>68</v>
      </c>
      <c r="E34" s="1360">
        <v>68</v>
      </c>
      <c r="F34" s="1360">
        <v>92</v>
      </c>
      <c r="G34" s="1013">
        <f t="shared" ref="G34:I35" si="19">+IFERROR($C34-D34,"")</f>
        <v>35</v>
      </c>
      <c r="H34" s="1014">
        <f>+IFERROR($C34-E34,"")</f>
        <v>35</v>
      </c>
      <c r="I34" s="1015">
        <f t="shared" si="19"/>
        <v>11</v>
      </c>
      <c r="J34" s="1016">
        <f>+IFERROR(G34/ABS($D34),"")</f>
        <v>0.51470588235294112</v>
      </c>
      <c r="K34" s="1017">
        <f>+IFERROR(H34/ABS($E34),"")</f>
        <v>0.51470588235294112</v>
      </c>
      <c r="L34" s="1018">
        <f>+IFERROR(I34/ABS($F34),"")</f>
        <v>0.11956521739130435</v>
      </c>
      <c r="M34" s="1412"/>
    </row>
    <row r="35" spans="2:13">
      <c r="B35" s="1361" t="s">
        <v>1913</v>
      </c>
      <c r="C35" s="1362">
        <f>Inventaire_Used!L2</f>
        <v>2677576.6100000003</v>
      </c>
      <c r="D35" s="1362">
        <v>1072231</v>
      </c>
      <c r="E35" s="1362">
        <v>1072231</v>
      </c>
      <c r="F35" s="1362">
        <v>1510979</v>
      </c>
      <c r="G35" s="1032">
        <f t="shared" si="19"/>
        <v>1605345.6100000003</v>
      </c>
      <c r="H35" s="1033">
        <f t="shared" si="19"/>
        <v>1605345.6100000003</v>
      </c>
      <c r="I35" s="1034">
        <f t="shared" si="19"/>
        <v>1166597.6100000003</v>
      </c>
      <c r="J35" s="1035">
        <f>+IFERROR(G35/ABS($D35),"")</f>
        <v>1.4972012653989675</v>
      </c>
      <c r="K35" s="1036">
        <f>+IFERROR(H35/ABS($E35),"")</f>
        <v>1.4972012653989675</v>
      </c>
      <c r="L35" s="1037">
        <f>+IFERROR(I35/ABS($F35),"")</f>
        <v>0.77208062454871995</v>
      </c>
      <c r="M35" s="1413"/>
    </row>
    <row r="36" spans="2:13">
      <c r="C36" s="1091">
        <f>C35/C34</f>
        <v>25995.88941747573</v>
      </c>
      <c r="D36" s="1091">
        <f>D35/D34</f>
        <v>15768.10294117647</v>
      </c>
      <c r="E36" s="1091">
        <f>E35/E34</f>
        <v>15768.10294117647</v>
      </c>
      <c r="F36" s="1091">
        <f>F35/F34</f>
        <v>16423.684782608696</v>
      </c>
      <c r="G36" s="1038"/>
      <c r="H36" s="1038"/>
      <c r="I36" s="1038"/>
      <c r="J36" s="1038"/>
      <c r="K36" s="1038"/>
      <c r="L36" s="1038"/>
      <c r="M36" s="159"/>
    </row>
    <row r="37" spans="2:13">
      <c r="B37" s="648" t="s">
        <v>155</v>
      </c>
      <c r="C37" s="649" t="s">
        <v>1947</v>
      </c>
      <c r="D37" s="649" t="s">
        <v>1968</v>
      </c>
      <c r="E37" s="649" t="s">
        <v>6</v>
      </c>
      <c r="F37" s="649">
        <v>2021</v>
      </c>
      <c r="G37" s="651" t="s">
        <v>1971</v>
      </c>
      <c r="H37" s="650" t="s">
        <v>1969</v>
      </c>
      <c r="I37" s="652" t="s">
        <v>3244</v>
      </c>
      <c r="J37" s="651" t="s">
        <v>1972</v>
      </c>
      <c r="K37" s="650" t="s">
        <v>1970</v>
      </c>
      <c r="L37" s="652" t="s">
        <v>3245</v>
      </c>
      <c r="M37" s="1057" t="s">
        <v>1965</v>
      </c>
    </row>
    <row r="38" spans="2:13">
      <c r="B38" s="632" t="s">
        <v>1961</v>
      </c>
      <c r="C38" s="657">
        <f>+Print_Mois!$K$193</f>
        <v>0</v>
      </c>
      <c r="D38" s="657">
        <f>+Print_Mois!$H$193</f>
        <v>317352.12196554657</v>
      </c>
      <c r="E38" s="657">
        <f>+Print_Mois!$E$193</f>
        <v>317352.12196554657</v>
      </c>
      <c r="F38" s="657">
        <f>+Print_Mois!$P$193</f>
        <v>277498.26</v>
      </c>
      <c r="G38" s="659">
        <f t="shared" ref="G38:I47" si="20">+IFERROR($C38-D38,"")</f>
        <v>-317352.12196554657</v>
      </c>
      <c r="H38" s="658">
        <f t="shared" si="20"/>
        <v>-317352.12196554657</v>
      </c>
      <c r="I38" s="660">
        <f t="shared" si="20"/>
        <v>-277498.26</v>
      </c>
      <c r="J38" s="668">
        <f t="shared" ref="J38:J47" si="21">+IFERROR(G38/ABS($D38),"")</f>
        <v>-1</v>
      </c>
      <c r="K38" s="669">
        <f t="shared" ref="K38:K47" si="22">+IFERROR(H38/ABS($E38),"")</f>
        <v>-1</v>
      </c>
      <c r="L38" s="670">
        <f t="shared" ref="L38:L47" si="23">+IFERROR(I38/ABS($F38),"")</f>
        <v>-1</v>
      </c>
      <c r="M38" s="1411" t="s">
        <v>3605</v>
      </c>
    </row>
    <row r="39" spans="2:13">
      <c r="B39" s="632" t="s">
        <v>1973</v>
      </c>
      <c r="C39" s="657">
        <f>+Print_Mois!$L$193</f>
        <v>0</v>
      </c>
      <c r="D39" s="657">
        <f>+Print_Mois!$I$193</f>
        <v>216769.61579651225</v>
      </c>
      <c r="E39" s="657">
        <f>+Print_Mois!$F$193</f>
        <v>216769.61579651225</v>
      </c>
      <c r="F39" s="657">
        <f>+Print_Mois!$Q$193</f>
        <v>199204.03999999998</v>
      </c>
      <c r="G39" s="659">
        <f t="shared" si="20"/>
        <v>-216769.61579651225</v>
      </c>
      <c r="H39" s="658">
        <f t="shared" si="20"/>
        <v>-216769.61579651225</v>
      </c>
      <c r="I39" s="660">
        <f t="shared" si="20"/>
        <v>-199204.03999999998</v>
      </c>
      <c r="J39" s="671">
        <f t="shared" si="21"/>
        <v>-1</v>
      </c>
      <c r="K39" s="672">
        <f t="shared" si="22"/>
        <v>-1</v>
      </c>
      <c r="L39" s="673">
        <f t="shared" si="23"/>
        <v>-1</v>
      </c>
      <c r="M39" s="1412"/>
    </row>
    <row r="40" spans="2:13">
      <c r="B40" s="633" t="s">
        <v>1974</v>
      </c>
      <c r="C40" s="1012" t="e">
        <f>+Print_Mois!$K$171/Print_Mois!$J$171</f>
        <v>#DIV/0!</v>
      </c>
      <c r="D40" s="1012">
        <f>+IFERROR(Print_Mois!$H$171/Print_Mois!$G$171,"")</f>
        <v>248</v>
      </c>
      <c r="E40" s="1012">
        <f>+IFERROR(Print_Mois!$E$171/Print_Mois!$D$171,"")</f>
        <v>248</v>
      </c>
      <c r="F40" s="1012">
        <f>+Print_Mois!$P$171/Print_Mois!$O$171</f>
        <v>260.69416513761468</v>
      </c>
      <c r="G40" s="1013" t="str">
        <f t="shared" si="20"/>
        <v/>
      </c>
      <c r="H40" s="1014" t="str">
        <f t="shared" si="20"/>
        <v/>
      </c>
      <c r="I40" s="1015" t="str">
        <f t="shared" si="20"/>
        <v/>
      </c>
      <c r="J40" s="1016" t="str">
        <f t="shared" si="21"/>
        <v/>
      </c>
      <c r="K40" s="1017" t="str">
        <f t="shared" si="22"/>
        <v/>
      </c>
      <c r="L40" s="1018" t="str">
        <f t="shared" si="23"/>
        <v/>
      </c>
      <c r="M40" s="1412"/>
    </row>
    <row r="41" spans="2:13">
      <c r="B41" s="633" t="s">
        <v>1975</v>
      </c>
      <c r="C41" s="1012" t="e">
        <f>+Print_Mois!$K$174/Print_Mois!$J$174</f>
        <v>#DIV/0!</v>
      </c>
      <c r="D41" s="1012">
        <f>+IFERROR(Print_Mois!$H$174/Print_Mois!$G$174,"")</f>
        <v>198.09762771214204</v>
      </c>
      <c r="E41" s="1012">
        <f>+IFERROR(Print_Mois!$E$174/Print_Mois!$D$174,"")</f>
        <v>198.09762771214204</v>
      </c>
      <c r="F41" s="1012">
        <f>+Print_Mois!$P$174/Print_Mois!$O$174</f>
        <v>153.47570149253733</v>
      </c>
      <c r="G41" s="1013" t="str">
        <f t="shared" si="20"/>
        <v/>
      </c>
      <c r="H41" s="1014" t="str">
        <f t="shared" si="20"/>
        <v/>
      </c>
      <c r="I41" s="1015" t="str">
        <f t="shared" si="20"/>
        <v/>
      </c>
      <c r="J41" s="1016" t="str">
        <f t="shared" si="21"/>
        <v/>
      </c>
      <c r="K41" s="1017" t="str">
        <f t="shared" si="22"/>
        <v/>
      </c>
      <c r="L41" s="1018" t="str">
        <f t="shared" si="23"/>
        <v/>
      </c>
      <c r="M41" s="1412"/>
    </row>
    <row r="42" spans="2:13">
      <c r="B42" s="633" t="s">
        <v>1964</v>
      </c>
      <c r="C42" s="1039">
        <f>+Print_Mois!$L$183</f>
        <v>0</v>
      </c>
      <c r="D42" s="1039">
        <f>+Print_Mois!$I$183</f>
        <v>-4487.7795387013848</v>
      </c>
      <c r="E42" s="1039">
        <f>+Print_Mois!$F$183</f>
        <v>-4487.7795387013848</v>
      </c>
      <c r="F42" s="1039">
        <f>+Print_Mois!$Q$183</f>
        <v>-1889.6</v>
      </c>
      <c r="G42" s="1013">
        <f t="shared" si="20"/>
        <v>4487.7795387013848</v>
      </c>
      <c r="H42" s="1014">
        <f t="shared" si="20"/>
        <v>4487.7795387013848</v>
      </c>
      <c r="I42" s="1015">
        <f t="shared" si="20"/>
        <v>1889.6</v>
      </c>
      <c r="J42" s="1016">
        <f t="shared" si="21"/>
        <v>1</v>
      </c>
      <c r="K42" s="1017">
        <f t="shared" si="22"/>
        <v>1</v>
      </c>
      <c r="L42" s="1018">
        <f t="shared" si="23"/>
        <v>1</v>
      </c>
      <c r="M42" s="1412"/>
    </row>
    <row r="43" spans="2:13">
      <c r="B43" s="633" t="s">
        <v>1976</v>
      </c>
      <c r="C43" s="1012">
        <f>+Print_Mois!$L$209</f>
        <v>0</v>
      </c>
      <c r="D43" s="1012">
        <f>+Print_Mois!$I$209</f>
        <v>114443.7316879945</v>
      </c>
      <c r="E43" s="1012">
        <f>+Print_Mois!$F$209</f>
        <v>114443.7316879945</v>
      </c>
      <c r="F43" s="1012">
        <f>+Print_Mois!$Q$209</f>
        <v>113121.60999999999</v>
      </c>
      <c r="G43" s="1013">
        <f t="shared" si="20"/>
        <v>-114443.7316879945</v>
      </c>
      <c r="H43" s="1014">
        <f t="shared" si="20"/>
        <v>-114443.7316879945</v>
      </c>
      <c r="I43" s="1015">
        <f t="shared" si="20"/>
        <v>-113121.60999999999</v>
      </c>
      <c r="J43" s="1016">
        <f t="shared" si="21"/>
        <v>-1</v>
      </c>
      <c r="K43" s="1017">
        <f t="shared" si="22"/>
        <v>-1</v>
      </c>
      <c r="L43" s="1018">
        <f t="shared" si="23"/>
        <v>-1</v>
      </c>
      <c r="M43" s="1412"/>
    </row>
    <row r="44" spans="2:13">
      <c r="B44" s="634" t="s">
        <v>1977</v>
      </c>
      <c r="C44" s="1012">
        <f>+SUM(Print_Mois!$L$197:$L$203)</f>
        <v>0</v>
      </c>
      <c r="D44" s="1012">
        <f>+SUM(Print_Mois!$I$197:$I$203)</f>
        <v>66622.004559804598</v>
      </c>
      <c r="E44" s="1012">
        <f>+SUM(Print_Mois!$F$197:$F$203)</f>
        <v>66622.004559804598</v>
      </c>
      <c r="F44" s="1012">
        <f>+SUM(Print_Mois!$Q$197:$Q$203)</f>
        <v>71803.239999999991</v>
      </c>
      <c r="G44" s="1013">
        <f t="shared" si="20"/>
        <v>-66622.004559804598</v>
      </c>
      <c r="H44" s="1014">
        <f t="shared" si="20"/>
        <v>-66622.004559804598</v>
      </c>
      <c r="I44" s="1015">
        <f t="shared" si="20"/>
        <v>-71803.239999999991</v>
      </c>
      <c r="J44" s="1016">
        <f t="shared" si="21"/>
        <v>-1</v>
      </c>
      <c r="K44" s="1017">
        <f t="shared" si="22"/>
        <v>-1</v>
      </c>
      <c r="L44" s="1018">
        <f t="shared" si="23"/>
        <v>-1</v>
      </c>
      <c r="M44" s="1412"/>
    </row>
    <row r="45" spans="2:13" ht="25.5" customHeight="1">
      <c r="B45" s="634" t="s">
        <v>1978</v>
      </c>
      <c r="C45" s="1012">
        <f>+SUM(Print_Mois!$L$204:$L$208)</f>
        <v>0</v>
      </c>
      <c r="D45" s="1012">
        <f>+SUM(Print_Mois!$I$204:$I$208)</f>
        <v>47821.727128189901</v>
      </c>
      <c r="E45" s="1012">
        <f>+SUM(Print_Mois!$F$204:$F$208)</f>
        <v>47821.727128189901</v>
      </c>
      <c r="F45" s="1012">
        <f>+SUM(Print_Mois!$Q$204:$Q$208)</f>
        <v>41318.370000000003</v>
      </c>
      <c r="G45" s="1013">
        <f t="shared" si="20"/>
        <v>-47821.727128189901</v>
      </c>
      <c r="H45" s="1014">
        <f t="shared" si="20"/>
        <v>-47821.727128189901</v>
      </c>
      <c r="I45" s="1015">
        <f t="shared" si="20"/>
        <v>-41318.370000000003</v>
      </c>
      <c r="J45" s="1016">
        <f t="shared" si="21"/>
        <v>-1</v>
      </c>
      <c r="K45" s="1017">
        <f t="shared" si="22"/>
        <v>-1</v>
      </c>
      <c r="L45" s="1018">
        <f t="shared" si="23"/>
        <v>-1</v>
      </c>
      <c r="M45" s="1412"/>
    </row>
    <row r="46" spans="2:13" ht="25.5" customHeight="1">
      <c r="B46" s="633" t="s">
        <v>1987</v>
      </c>
      <c r="C46" s="1040" t="e">
        <f>+C43/C38</f>
        <v>#DIV/0!</v>
      </c>
      <c r="D46" s="1040">
        <f t="shared" ref="D46:E46" si="24">+D43/D38</f>
        <v>0.36062066003900589</v>
      </c>
      <c r="E46" s="1040">
        <f t="shared" si="24"/>
        <v>0.36062066003900589</v>
      </c>
      <c r="F46" s="1040">
        <f>+F43/F38</f>
        <v>0.40764799750456088</v>
      </c>
      <c r="G46" s="1041" t="str">
        <f t="shared" si="20"/>
        <v/>
      </c>
      <c r="H46" s="1042" t="str">
        <f t="shared" si="20"/>
        <v/>
      </c>
      <c r="I46" s="1043" t="str">
        <f t="shared" si="20"/>
        <v/>
      </c>
      <c r="J46" s="1016" t="str">
        <f t="shared" si="21"/>
        <v/>
      </c>
      <c r="K46" s="1017" t="str">
        <f t="shared" si="22"/>
        <v/>
      </c>
      <c r="L46" s="1018" t="str">
        <f t="shared" si="23"/>
        <v/>
      </c>
      <c r="M46" s="1412"/>
    </row>
    <row r="47" spans="2:13" ht="52.5" customHeight="1">
      <c r="B47" s="661" t="s">
        <v>123</v>
      </c>
      <c r="C47" s="1044">
        <f>+Print_Mois!$L$212</f>
        <v>0</v>
      </c>
      <c r="D47" s="1044">
        <f>+Print_Mois!$I$212</f>
        <v>16288.804444444444</v>
      </c>
      <c r="E47" s="1044">
        <f>+Print_Mois!$F$212</f>
        <v>16288.804444444444</v>
      </c>
      <c r="F47" s="1044">
        <f>+Print_Mois!$Q$212</f>
        <v>14655.85</v>
      </c>
      <c r="G47" s="1032">
        <f t="shared" si="20"/>
        <v>-16288.804444444444</v>
      </c>
      <c r="H47" s="1033">
        <f t="shared" si="20"/>
        <v>-16288.804444444444</v>
      </c>
      <c r="I47" s="1034">
        <f t="shared" si="20"/>
        <v>-14655.85</v>
      </c>
      <c r="J47" s="1035">
        <f t="shared" si="21"/>
        <v>-1</v>
      </c>
      <c r="K47" s="1036">
        <f t="shared" si="22"/>
        <v>-1</v>
      </c>
      <c r="L47" s="1037">
        <f t="shared" si="23"/>
        <v>-1</v>
      </c>
      <c r="M47" s="1413"/>
    </row>
    <row r="48" spans="2:13">
      <c r="C48" s="1038"/>
      <c r="D48" s="1038"/>
      <c r="E48" s="1038"/>
      <c r="F48" s="1038"/>
      <c r="G48" s="1038"/>
      <c r="H48" s="1038"/>
      <c r="I48" s="1038"/>
      <c r="J48" s="1038"/>
      <c r="K48" s="1038"/>
      <c r="L48" s="1038"/>
      <c r="M48" s="159"/>
    </row>
    <row r="49" spans="2:13">
      <c r="B49" s="662" t="s">
        <v>1966</v>
      </c>
      <c r="C49" s="663" t="s">
        <v>1947</v>
      </c>
      <c r="D49" s="663" t="s">
        <v>1968</v>
      </c>
      <c r="E49" s="663" t="s">
        <v>6</v>
      </c>
      <c r="F49" s="663">
        <v>2021</v>
      </c>
      <c r="G49" s="665" t="s">
        <v>1971</v>
      </c>
      <c r="H49" s="664" t="s">
        <v>1969</v>
      </c>
      <c r="I49" s="666" t="s">
        <v>3244</v>
      </c>
      <c r="J49" s="665" t="s">
        <v>1972</v>
      </c>
      <c r="K49" s="664" t="s">
        <v>1970</v>
      </c>
      <c r="L49" s="666" t="s">
        <v>3245</v>
      </c>
      <c r="M49" s="1058" t="s">
        <v>1965</v>
      </c>
    </row>
    <row r="50" spans="2:13" ht="15" customHeight="1">
      <c r="B50" s="667" t="s">
        <v>1961</v>
      </c>
      <c r="C50" s="657">
        <f>+Print_Mois!$J$313</f>
        <v>0</v>
      </c>
      <c r="D50" s="657">
        <f>+Print_Mois!$G$313</f>
        <v>490001.2218241372</v>
      </c>
      <c r="E50" s="657">
        <f>+Print_Mois!$D$313</f>
        <v>490001.2218241372</v>
      </c>
      <c r="F50" s="657">
        <f>+Print_Mois!$O$313</f>
        <v>420014.42000000004</v>
      </c>
      <c r="G50" s="659">
        <f t="shared" ref="G50:I59" si="25">+IFERROR($C50-D50,"")</f>
        <v>-490001.2218241372</v>
      </c>
      <c r="H50" s="658">
        <f t="shared" si="25"/>
        <v>-490001.2218241372</v>
      </c>
      <c r="I50" s="660">
        <f t="shared" si="25"/>
        <v>-420014.42000000004</v>
      </c>
      <c r="J50" s="668">
        <f t="shared" ref="J50:J59" si="26">+IFERROR(G50/ABS($D50),"")</f>
        <v>-1</v>
      </c>
      <c r="K50" s="669">
        <f t="shared" ref="K50:K59" si="27">+IFERROR(H50/ABS($E50),"")</f>
        <v>-1</v>
      </c>
      <c r="L50" s="670">
        <f t="shared" ref="L50:L59" si="28">+IFERROR(I50/ABS($F50),"")</f>
        <v>-1</v>
      </c>
      <c r="M50" s="1411" t="s">
        <v>3606</v>
      </c>
    </row>
    <row r="51" spans="2:13">
      <c r="B51" s="1045" t="s">
        <v>1962</v>
      </c>
      <c r="C51" s="1012">
        <f>+Print_Mois!$J$294</f>
        <v>0</v>
      </c>
      <c r="D51" s="1012">
        <f>+Print_Mois!$G$294</f>
        <v>95696.632594750467</v>
      </c>
      <c r="E51" s="1012">
        <f>+Print_Mois!$D$294</f>
        <v>95696.632594750467</v>
      </c>
      <c r="F51" s="1012">
        <f>+Print_Mois!$O$294</f>
        <v>79854.55</v>
      </c>
      <c r="G51" s="1013">
        <f t="shared" si="25"/>
        <v>-95696.632594750467</v>
      </c>
      <c r="H51" s="1014">
        <f t="shared" si="25"/>
        <v>-95696.632594750467</v>
      </c>
      <c r="I51" s="1015">
        <f t="shared" si="25"/>
        <v>-79854.55</v>
      </c>
      <c r="J51" s="1016">
        <f t="shared" si="26"/>
        <v>-1</v>
      </c>
      <c r="K51" s="1017">
        <f t="shared" si="27"/>
        <v>-1</v>
      </c>
      <c r="L51" s="1018">
        <f t="shared" si="28"/>
        <v>-1</v>
      </c>
      <c r="M51" s="1412"/>
    </row>
    <row r="52" spans="2:13">
      <c r="B52" s="1045" t="s">
        <v>1963</v>
      </c>
      <c r="C52" s="1012">
        <f>+Print_Mois!$J$296</f>
        <v>0</v>
      </c>
      <c r="D52" s="1012">
        <f>+Print_Mois!$G$296</f>
        <v>80768.008384112531</v>
      </c>
      <c r="E52" s="1012">
        <f>+Print_Mois!$D$296</f>
        <v>80768.008384112531</v>
      </c>
      <c r="F52" s="1012">
        <f>+Print_Mois!$O$296</f>
        <v>47989.56</v>
      </c>
      <c r="G52" s="1013">
        <f t="shared" si="25"/>
        <v>-80768.008384112531</v>
      </c>
      <c r="H52" s="1014">
        <f t="shared" si="25"/>
        <v>-80768.008384112531</v>
      </c>
      <c r="I52" s="1015">
        <f t="shared" si="25"/>
        <v>-47989.56</v>
      </c>
      <c r="J52" s="1016">
        <f t="shared" si="26"/>
        <v>-1</v>
      </c>
      <c r="K52" s="1017">
        <f t="shared" si="27"/>
        <v>-1</v>
      </c>
      <c r="L52" s="1018">
        <f t="shared" si="28"/>
        <v>-1</v>
      </c>
      <c r="M52" s="1412"/>
    </row>
    <row r="53" spans="2:13">
      <c r="B53" s="1045" t="s">
        <v>1979</v>
      </c>
      <c r="C53" s="1012">
        <f>+Print_Mois!$J$299</f>
        <v>0</v>
      </c>
      <c r="D53" s="1012">
        <f>+Print_Mois!$G$299</f>
        <v>60731.529763844148</v>
      </c>
      <c r="E53" s="1012">
        <f>+Print_Mois!$D$299</f>
        <v>60731.529763844148</v>
      </c>
      <c r="F53" s="1012">
        <f>+Print_Mois!$O$299</f>
        <v>56712.29</v>
      </c>
      <c r="G53" s="1013">
        <f t="shared" si="25"/>
        <v>-60731.529763844148</v>
      </c>
      <c r="H53" s="1014">
        <f t="shared" si="25"/>
        <v>-60731.529763844148</v>
      </c>
      <c r="I53" s="1015">
        <f t="shared" si="25"/>
        <v>-56712.29</v>
      </c>
      <c r="J53" s="1016">
        <f t="shared" si="26"/>
        <v>-1</v>
      </c>
      <c r="K53" s="1017">
        <f t="shared" si="27"/>
        <v>-1</v>
      </c>
      <c r="L53" s="1018">
        <f t="shared" si="28"/>
        <v>-1</v>
      </c>
      <c r="M53" s="1412"/>
    </row>
    <row r="54" spans="2:13">
      <c r="B54" s="1045" t="s">
        <v>1980</v>
      </c>
      <c r="C54" s="1012">
        <f>+Print_Mois!$J$306</f>
        <v>0</v>
      </c>
      <c r="D54" s="1012">
        <f>+Print_Mois!$G$306</f>
        <v>84297.591738986535</v>
      </c>
      <c r="E54" s="1012">
        <f>+Print_Mois!$D$306</f>
        <v>84297.591738986535</v>
      </c>
      <c r="F54" s="1012">
        <f>+Print_Mois!$O$306</f>
        <v>69061.83</v>
      </c>
      <c r="G54" s="1013">
        <f t="shared" si="25"/>
        <v>-84297.591738986535</v>
      </c>
      <c r="H54" s="1014">
        <f t="shared" si="25"/>
        <v>-84297.591738986535</v>
      </c>
      <c r="I54" s="1015">
        <f t="shared" si="25"/>
        <v>-69061.83</v>
      </c>
      <c r="J54" s="1016">
        <f t="shared" si="26"/>
        <v>-1</v>
      </c>
      <c r="K54" s="1017">
        <f t="shared" si="27"/>
        <v>-1</v>
      </c>
      <c r="L54" s="1018">
        <f t="shared" si="28"/>
        <v>-1</v>
      </c>
      <c r="M54" s="1412"/>
    </row>
    <row r="55" spans="2:13">
      <c r="B55" s="1045" t="s">
        <v>1981</v>
      </c>
      <c r="C55" s="1012">
        <f>+C50-SUM(C51:C54)</f>
        <v>0</v>
      </c>
      <c r="D55" s="1012">
        <f t="shared" ref="D55:F55" si="29">+D50-SUM(D51:D54)</f>
        <v>168507.4593424435</v>
      </c>
      <c r="E55" s="1012">
        <f t="shared" si="29"/>
        <v>168507.4593424435</v>
      </c>
      <c r="F55" s="1012">
        <f t="shared" si="29"/>
        <v>166396.19000000006</v>
      </c>
      <c r="G55" s="1013">
        <f t="shared" si="25"/>
        <v>-168507.4593424435</v>
      </c>
      <c r="H55" s="1014">
        <f t="shared" si="25"/>
        <v>-168507.4593424435</v>
      </c>
      <c r="I55" s="1015">
        <f t="shared" si="25"/>
        <v>-166396.19000000006</v>
      </c>
      <c r="J55" s="1016">
        <f t="shared" si="26"/>
        <v>-1</v>
      </c>
      <c r="K55" s="1017">
        <f t="shared" si="27"/>
        <v>-1</v>
      </c>
      <c r="L55" s="1018">
        <f t="shared" si="28"/>
        <v>-1</v>
      </c>
      <c r="M55" s="1412"/>
    </row>
    <row r="56" spans="2:13">
      <c r="B56" s="632" t="s">
        <v>1973</v>
      </c>
      <c r="C56" s="657">
        <f>+Print_Mois!$L$313</f>
        <v>0</v>
      </c>
      <c r="D56" s="657">
        <f>+Print_Mois!$I$313</f>
        <v>136678.28280947896</v>
      </c>
      <c r="E56" s="657">
        <f>+Print_Mois!$F$313</f>
        <v>136678.28280947896</v>
      </c>
      <c r="F56" s="657">
        <f>+Print_Mois!$Q$313</f>
        <v>118849.3</v>
      </c>
      <c r="G56" s="659">
        <f t="shared" si="25"/>
        <v>-136678.28280947896</v>
      </c>
      <c r="H56" s="658">
        <f t="shared" si="25"/>
        <v>-136678.28280947896</v>
      </c>
      <c r="I56" s="660">
        <f t="shared" si="25"/>
        <v>-118849.3</v>
      </c>
      <c r="J56" s="671">
        <f t="shared" si="26"/>
        <v>-1</v>
      </c>
      <c r="K56" s="672">
        <f t="shared" si="27"/>
        <v>-1</v>
      </c>
      <c r="L56" s="673">
        <f t="shared" si="28"/>
        <v>-1</v>
      </c>
      <c r="M56" s="1412"/>
    </row>
    <row r="57" spans="2:13">
      <c r="B57" s="633" t="s">
        <v>1974</v>
      </c>
      <c r="C57" s="1012" t="e">
        <f>+Print_Mois!$J$294/Print_Mois!$J$171</f>
        <v>#DIV/0!</v>
      </c>
      <c r="D57" s="1012">
        <f>+IFERROR(Print_Mois!$G$294/Print_Mois!$G$171,"")</f>
        <v>157.07441129099806</v>
      </c>
      <c r="E57" s="1012">
        <f>+IFERROR(Print_Mois!$D$294/Print_Mois!$D$171,"")</f>
        <v>157.07441129099806</v>
      </c>
      <c r="F57" s="1012">
        <f>+Print_Mois!$O$294/Print_Mois!$O$171</f>
        <v>146.52211009174312</v>
      </c>
      <c r="G57" s="1013" t="str">
        <f t="shared" si="25"/>
        <v/>
      </c>
      <c r="H57" s="1014" t="str">
        <f t="shared" si="25"/>
        <v/>
      </c>
      <c r="I57" s="1015" t="str">
        <f t="shared" si="25"/>
        <v/>
      </c>
      <c r="J57" s="1016" t="str">
        <f t="shared" si="26"/>
        <v/>
      </c>
      <c r="K57" s="1017" t="str">
        <f t="shared" si="27"/>
        <v/>
      </c>
      <c r="L57" s="1018" t="str">
        <f t="shared" si="28"/>
        <v/>
      </c>
      <c r="M57" s="1412"/>
    </row>
    <row r="58" spans="2:13">
      <c r="B58" s="633" t="s">
        <v>1975</v>
      </c>
      <c r="C58" s="1012" t="e">
        <f>+Print_Mois!$J$296/Print_Mois!$J$174</f>
        <v>#DIV/0!</v>
      </c>
      <c r="D58" s="1012">
        <f>+IFERROR(Print_Mois!$G$296/Print_Mois!$G$174,"")</f>
        <v>271.18983686114348</v>
      </c>
      <c r="E58" s="1012">
        <f>+IFERROR(Print_Mois!$D$296/Print_Mois!$D$174,"")</f>
        <v>271.18983686114348</v>
      </c>
      <c r="F58" s="1012">
        <f>+Print_Mois!$O$296/Print_Mois!$O$174</f>
        <v>143.25241791044775</v>
      </c>
      <c r="G58" s="1013" t="str">
        <f t="shared" si="25"/>
        <v/>
      </c>
      <c r="H58" s="1014" t="str">
        <f t="shared" si="25"/>
        <v/>
      </c>
      <c r="I58" s="1015" t="str">
        <f t="shared" si="25"/>
        <v/>
      </c>
      <c r="J58" s="1016" t="str">
        <f t="shared" si="26"/>
        <v/>
      </c>
      <c r="K58" s="1017" t="str">
        <f t="shared" si="27"/>
        <v/>
      </c>
      <c r="L58" s="1018" t="str">
        <f t="shared" si="28"/>
        <v/>
      </c>
      <c r="M58" s="1412"/>
    </row>
    <row r="59" spans="2:13">
      <c r="B59" s="661" t="s">
        <v>114</v>
      </c>
      <c r="C59" s="1044">
        <f>+Print_Mois!$L$319</f>
        <v>0</v>
      </c>
      <c r="D59" s="1044">
        <f>+Print_Mois!$I$319</f>
        <v>23500.879209931034</v>
      </c>
      <c r="E59" s="1044">
        <f>+Print_Mois!$F$319</f>
        <v>23500.879209931034</v>
      </c>
      <c r="F59" s="1044">
        <f>+Print_Mois!$Q$319</f>
        <v>21835.65</v>
      </c>
      <c r="G59" s="1032">
        <f t="shared" si="25"/>
        <v>-23500.879209931034</v>
      </c>
      <c r="H59" s="1033">
        <f t="shared" si="25"/>
        <v>-23500.879209931034</v>
      </c>
      <c r="I59" s="1034">
        <f t="shared" si="25"/>
        <v>-21835.65</v>
      </c>
      <c r="J59" s="1035">
        <f t="shared" si="26"/>
        <v>-1</v>
      </c>
      <c r="K59" s="1036">
        <f t="shared" si="27"/>
        <v>-1</v>
      </c>
      <c r="L59" s="1037">
        <f t="shared" si="28"/>
        <v>-1</v>
      </c>
      <c r="M59" s="1413"/>
    </row>
    <row r="60" spans="2:13">
      <c r="M60" s="159"/>
    </row>
    <row r="61" spans="2:13">
      <c r="B61" s="674" t="s">
        <v>1982</v>
      </c>
      <c r="C61" s="675" t="s">
        <v>1947</v>
      </c>
      <c r="D61" s="675" t="s">
        <v>1968</v>
      </c>
      <c r="E61" s="675" t="s">
        <v>6</v>
      </c>
      <c r="F61" s="675">
        <v>2021</v>
      </c>
      <c r="G61" s="677" t="s">
        <v>1971</v>
      </c>
      <c r="H61" s="676" t="s">
        <v>1969</v>
      </c>
      <c r="I61" s="678" t="s">
        <v>3244</v>
      </c>
      <c r="J61" s="677" t="s">
        <v>1972</v>
      </c>
      <c r="K61" s="676" t="s">
        <v>1970</v>
      </c>
      <c r="L61" s="678" t="s">
        <v>3245</v>
      </c>
      <c r="M61" s="1395" t="s">
        <v>1965</v>
      </c>
    </row>
    <row r="62" spans="2:13" ht="15" customHeight="1">
      <c r="B62" s="1046" t="s">
        <v>1983</v>
      </c>
      <c r="C62" s="1040" t="e">
        <f>+Print_Mois!$AF$432/Print_Mois!$AF$406</f>
        <v>#DIV/0!</v>
      </c>
      <c r="D62" s="1040">
        <f>+Print_Mois!$AC$432/Print_Mois!$AC$406</f>
        <v>0.39281523886179093</v>
      </c>
      <c r="E62" s="1040">
        <f>+Print_Mois!$Z$432/Print_Mois!$Z$406</f>
        <v>0.39281523886179093</v>
      </c>
      <c r="F62" s="1040">
        <f>+Print_Mois!$AL$432/Print_Mois!$AL$406</f>
        <v>0.38807087186108757</v>
      </c>
      <c r="G62" s="1041" t="str">
        <f t="shared" ref="G62:I67" si="30">+IFERROR($C62-D62,"")</f>
        <v/>
      </c>
      <c r="H62" s="1042" t="str">
        <f t="shared" si="30"/>
        <v/>
      </c>
      <c r="I62" s="1043" t="str">
        <f t="shared" si="30"/>
        <v/>
      </c>
      <c r="J62" s="1016" t="str">
        <f t="shared" ref="J62:J67" si="31">+IFERROR(G62/ABS($D62),"")</f>
        <v/>
      </c>
      <c r="K62" s="1017" t="str">
        <f t="shared" ref="K62:K67" si="32">+IFERROR(H62/ABS($E62),"")</f>
        <v/>
      </c>
      <c r="L62" s="1018" t="str">
        <f t="shared" ref="L62:L67" si="33">+IFERROR(I62/ABS($F62),"")</f>
        <v/>
      </c>
      <c r="M62" s="1415" t="s">
        <v>3607</v>
      </c>
    </row>
    <row r="63" spans="2:13">
      <c r="B63" s="1357" t="s">
        <v>1984</v>
      </c>
      <c r="C63" s="1358">
        <v>45</v>
      </c>
      <c r="D63" s="1358">
        <v>52.75</v>
      </c>
      <c r="E63" s="1358">
        <v>52.75</v>
      </c>
      <c r="F63" s="1358">
        <v>36</v>
      </c>
      <c r="G63" s="1047">
        <f t="shared" si="30"/>
        <v>-7.75</v>
      </c>
      <c r="H63" s="1048">
        <f t="shared" si="30"/>
        <v>-7.75</v>
      </c>
      <c r="I63" s="1049">
        <f t="shared" si="30"/>
        <v>9</v>
      </c>
      <c r="J63" s="1016">
        <f t="shared" si="31"/>
        <v>-0.14691943127962084</v>
      </c>
      <c r="K63" s="1017">
        <f t="shared" si="32"/>
        <v>-0.14691943127962084</v>
      </c>
      <c r="L63" s="1018">
        <f t="shared" si="33"/>
        <v>0.25</v>
      </c>
      <c r="M63" s="1416"/>
    </row>
    <row r="64" spans="2:13">
      <c r="B64" s="1046" t="s">
        <v>1967</v>
      </c>
      <c r="C64" s="1012">
        <f>Q17+Print_Mois!$AF$413+Print_Mois!$AF$433</f>
        <v>0</v>
      </c>
      <c r="D64" s="1012">
        <f>+Print_Mois!$AC$413+Print_Mois!$AC$433</f>
        <v>27269.194870745116</v>
      </c>
      <c r="E64" s="1012">
        <f>+Print_Mois!$Z$413+Print_Mois!$Z$433</f>
        <v>27269.194870745116</v>
      </c>
      <c r="F64" s="1012">
        <f>+Print_Mois!$AL$413+Print_Mois!$AL$433</f>
        <v>28285.4</v>
      </c>
      <c r="G64" s="1013">
        <f t="shared" si="30"/>
        <v>-27269.194870745116</v>
      </c>
      <c r="H64" s="1014">
        <f t="shared" si="30"/>
        <v>-27269.194870745116</v>
      </c>
      <c r="I64" s="1015">
        <f t="shared" si="30"/>
        <v>-28285.4</v>
      </c>
      <c r="J64" s="1016">
        <f t="shared" si="31"/>
        <v>-1</v>
      </c>
      <c r="K64" s="1017">
        <f t="shared" si="32"/>
        <v>-1</v>
      </c>
      <c r="L64" s="1018">
        <f t="shared" si="33"/>
        <v>-1</v>
      </c>
      <c r="M64" s="1416"/>
    </row>
    <row r="65" spans="2:13">
      <c r="B65" s="1046" t="s">
        <v>1986</v>
      </c>
      <c r="C65" s="1012">
        <f>+Print_Mois!$AF$451-Print_Mois!$AF$433</f>
        <v>0</v>
      </c>
      <c r="D65" s="1012">
        <f>+Print_Mois!$AC$451-Print_Mois!$AC$433</f>
        <v>91880.716310765434</v>
      </c>
      <c r="E65" s="1012">
        <f>+Print_Mois!$Z$451-Print_Mois!$Z$433</f>
        <v>91880.716310765434</v>
      </c>
      <c r="F65" s="1012">
        <f>+Print_Mois!$AL$451-Print_Mois!$AL$433</f>
        <v>81654.069999999992</v>
      </c>
      <c r="G65" s="1013">
        <f t="shared" si="30"/>
        <v>-91880.716310765434</v>
      </c>
      <c r="H65" s="1014">
        <f t="shared" si="30"/>
        <v>-91880.716310765434</v>
      </c>
      <c r="I65" s="1015">
        <f t="shared" si="30"/>
        <v>-81654.069999999992</v>
      </c>
      <c r="J65" s="1016">
        <f t="shared" si="31"/>
        <v>-1</v>
      </c>
      <c r="K65" s="1017">
        <f t="shared" si="32"/>
        <v>-1</v>
      </c>
      <c r="L65" s="1018">
        <f t="shared" si="33"/>
        <v>-1</v>
      </c>
      <c r="M65" s="1416"/>
    </row>
    <row r="66" spans="2:13">
      <c r="B66" s="1046" t="s">
        <v>1985</v>
      </c>
      <c r="C66" s="1012">
        <f>+Print_Mois!$AF$414</f>
        <v>0</v>
      </c>
      <c r="D66" s="1012">
        <f>+Print_Mois!$AC$414</f>
        <v>8210.5184549312598</v>
      </c>
      <c r="E66" s="1012">
        <f>+Print_Mois!$Z$414</f>
        <v>8210.5184549312598</v>
      </c>
      <c r="F66" s="1012">
        <f>+Print_Mois!$AL$414</f>
        <v>14766.98</v>
      </c>
      <c r="G66" s="1013">
        <f t="shared" si="30"/>
        <v>-8210.5184549312598</v>
      </c>
      <c r="H66" s="1014">
        <f t="shared" si="30"/>
        <v>-8210.5184549312598</v>
      </c>
      <c r="I66" s="1015">
        <f t="shared" si="30"/>
        <v>-14766.98</v>
      </c>
      <c r="J66" s="1016">
        <f t="shared" si="31"/>
        <v>-1</v>
      </c>
      <c r="K66" s="1017">
        <f t="shared" si="32"/>
        <v>-1</v>
      </c>
      <c r="L66" s="1018">
        <f t="shared" si="33"/>
        <v>-1</v>
      </c>
      <c r="M66" s="1416"/>
    </row>
    <row r="67" spans="2:13" ht="33" customHeight="1">
      <c r="B67" s="1050" t="s">
        <v>1988</v>
      </c>
      <c r="C67" s="1044">
        <f>+Print_Mois!$AF$480-C32-C15</f>
        <v>0</v>
      </c>
      <c r="D67" s="1044">
        <f>+Print_Mois!$AC$480-D32-D15</f>
        <v>0</v>
      </c>
      <c r="E67" s="1044">
        <f>+Print_Mois!$Z$480-E32-E15</f>
        <v>0</v>
      </c>
      <c r="F67" s="1044">
        <f>+Print_Mois!$AL$480-F32-F15</f>
        <v>-9.680000000007567</v>
      </c>
      <c r="G67" s="1032">
        <f t="shared" si="30"/>
        <v>0</v>
      </c>
      <c r="H67" s="1033">
        <f t="shared" si="30"/>
        <v>0</v>
      </c>
      <c r="I67" s="1034">
        <f t="shared" si="30"/>
        <v>9.680000000007567</v>
      </c>
      <c r="J67" s="1035" t="str">
        <f t="shared" si="31"/>
        <v/>
      </c>
      <c r="K67" s="1036" t="str">
        <f t="shared" si="32"/>
        <v/>
      </c>
      <c r="L67" s="1037">
        <f t="shared" si="33"/>
        <v>1</v>
      </c>
      <c r="M67" s="1417"/>
    </row>
    <row r="68" spans="2:13">
      <c r="M68" s="159"/>
    </row>
    <row r="69" spans="2:13">
      <c r="B69" s="964" t="s">
        <v>2868</v>
      </c>
      <c r="C69" s="965" t="s">
        <v>1947</v>
      </c>
      <c r="D69" s="965" t="s">
        <v>1968</v>
      </c>
      <c r="E69" s="965" t="s">
        <v>6</v>
      </c>
      <c r="F69" s="965">
        <v>2021</v>
      </c>
      <c r="G69" s="966" t="s">
        <v>1971</v>
      </c>
      <c r="H69" s="967" t="s">
        <v>1969</v>
      </c>
      <c r="I69" s="968" t="s">
        <v>3244</v>
      </c>
      <c r="J69" s="966" t="s">
        <v>1972</v>
      </c>
      <c r="K69" s="967" t="s">
        <v>1970</v>
      </c>
      <c r="L69" s="968" t="s">
        <v>3245</v>
      </c>
      <c r="M69" s="1059" t="s">
        <v>1965</v>
      </c>
    </row>
    <row r="70" spans="2:13">
      <c r="B70" s="969" t="s">
        <v>2869</v>
      </c>
      <c r="C70" s="1051">
        <f>+Print_Mois!$AF$418-Print_Mois!$AF$414+Print_Mois!$AF$433+Print_Mois!$AF$434+Print_Mois!$AF$435</f>
        <v>0</v>
      </c>
      <c r="D70" s="1051">
        <f>+Print_Mois!$AC$418-Print_Mois!$AC$414+Print_Mois!$AC$433+Print_Mois!$AC$434+Print_Mois!$AC$435</f>
        <v>188521.72204965871</v>
      </c>
      <c r="E70" s="1051">
        <f>+Print_Mois!$Z$418-Print_Mois!$Z$414+Print_Mois!$Z$433+Print_Mois!$Z$434+Print_Mois!$Z$435</f>
        <v>188521.72204965871</v>
      </c>
      <c r="F70" s="1051">
        <f>+Print_Mois!$AL$418-Print_Mois!$AL$414+Print_Mois!$AL$433+Print_Mois!$AL$434+Print_Mois!$AL$435</f>
        <v>190145.49000000002</v>
      </c>
      <c r="G70" s="970">
        <f t="shared" ref="G70:I77" si="34">+IFERROR($C70-D70,"")</f>
        <v>-188521.72204965871</v>
      </c>
      <c r="H70" s="971">
        <f t="shared" si="34"/>
        <v>-188521.72204965871</v>
      </c>
      <c r="I70" s="972">
        <f t="shared" si="34"/>
        <v>-190145.49000000002</v>
      </c>
      <c r="J70" s="1016">
        <f t="shared" ref="J70:J77" si="35">+IFERROR(G70/ABS($D70),"")</f>
        <v>-1</v>
      </c>
      <c r="K70" s="1017">
        <f t="shared" ref="K70:K77" si="36">+IFERROR(H70/ABS($E70),"")</f>
        <v>-1</v>
      </c>
      <c r="L70" s="1018">
        <f t="shared" ref="L70:L77" si="37">+IFERROR(I70/ABS($F70),"")</f>
        <v>-1</v>
      </c>
      <c r="M70" s="1411" t="s">
        <v>3608</v>
      </c>
    </row>
    <row r="71" spans="2:13">
      <c r="B71" s="969" t="s">
        <v>2870</v>
      </c>
      <c r="C71" s="1040" t="e">
        <f>+C70/Print_Mois!$AF$406</f>
        <v>#DIV/0!</v>
      </c>
      <c r="D71" s="1040">
        <f>+D70/Print_Mois!$AC$406</f>
        <v>0.26021515361220299</v>
      </c>
      <c r="E71" s="1040">
        <f>+E70/Print_Mois!$Z$406</f>
        <v>0.26021515361220299</v>
      </c>
      <c r="F71" s="1040">
        <f>+F70/Print_Mois!$AL$406</f>
        <v>0.27322199961289639</v>
      </c>
      <c r="G71" s="973" t="str">
        <f t="shared" si="34"/>
        <v/>
      </c>
      <c r="H71" s="974" t="str">
        <f t="shared" si="34"/>
        <v/>
      </c>
      <c r="I71" s="975" t="str">
        <f t="shared" si="34"/>
        <v/>
      </c>
      <c r="J71" s="1016" t="str">
        <f t="shared" si="35"/>
        <v/>
      </c>
      <c r="K71" s="1017" t="str">
        <f t="shared" si="36"/>
        <v/>
      </c>
      <c r="L71" s="1018" t="str">
        <f t="shared" si="37"/>
        <v/>
      </c>
      <c r="M71" s="1412"/>
    </row>
    <row r="72" spans="2:13">
      <c r="B72" s="969" t="s">
        <v>2871</v>
      </c>
      <c r="C72" s="1012">
        <f>+Print_Mois!$AF$465+Print_Mois!$AF$432+Print_Mois!$AF$436+Print_Mois!$AF$438+SUM(Print_Mois!$AF$439:$AF$447)+Print_Mois!$AF$437</f>
        <v>0</v>
      </c>
      <c r="D72" s="1012">
        <f>+Print_Mois!$AC$465+Print_Mois!$AC$432+Print_Mois!$AC$436+Print_Mois!$AC$438+SUM(Print_Mois!$AC$439:$AC$447)+Print_Mois!$AC$437</f>
        <v>395893.36182449345</v>
      </c>
      <c r="E72" s="1012">
        <f>+Print_Mois!$Z$465+Print_Mois!$Z$432+Print_Mois!$Z$436+Print_Mois!$Z$438+SUM(Print_Mois!$Z$439:$Z$447)+Print_Mois!$Z$437</f>
        <v>395893.36182449345</v>
      </c>
      <c r="F72" s="1012">
        <f>+Print_Mois!$AL$465+Print_Mois!$AL$432+Print_Mois!$AL$436+Print_Mois!$AL$438+SUM(Print_Mois!$AL$439:$AL$447)+Print_Mois!$AL$437</f>
        <v>372482.46</v>
      </c>
      <c r="G72" s="976">
        <f t="shared" si="34"/>
        <v>-395893.36182449345</v>
      </c>
      <c r="H72" s="977">
        <f t="shared" si="34"/>
        <v>-395893.36182449345</v>
      </c>
      <c r="I72" s="978">
        <f t="shared" si="34"/>
        <v>-372482.46</v>
      </c>
      <c r="J72" s="1016">
        <f t="shared" si="35"/>
        <v>-1</v>
      </c>
      <c r="K72" s="1017">
        <f>+IFERROR(H72/ABS($E72),"")</f>
        <v>-1</v>
      </c>
      <c r="L72" s="1018">
        <f t="shared" si="37"/>
        <v>-1</v>
      </c>
      <c r="M72" s="1412"/>
    </row>
    <row r="73" spans="2:13">
      <c r="B73" s="969" t="s">
        <v>2872</v>
      </c>
      <c r="C73" s="1040" t="e">
        <f>+C72/Print_Mois!$AF$406</f>
        <v>#DIV/0!</v>
      </c>
      <c r="D73" s="1040">
        <f>+D72/Print_Mois!$AC$406</f>
        <v>0.54644871074366741</v>
      </c>
      <c r="E73" s="1040">
        <f>+E72/Print_Mois!$Z$406</f>
        <v>0.54644871074366741</v>
      </c>
      <c r="F73" s="1040">
        <f>+F72/Print_Mois!$AL$406</f>
        <v>0.53522385696305863</v>
      </c>
      <c r="G73" s="973" t="str">
        <f t="shared" si="34"/>
        <v/>
      </c>
      <c r="H73" s="974" t="str">
        <f t="shared" si="34"/>
        <v/>
      </c>
      <c r="I73" s="975" t="str">
        <f t="shared" si="34"/>
        <v/>
      </c>
      <c r="J73" s="1016" t="str">
        <f t="shared" si="35"/>
        <v/>
      </c>
      <c r="K73" s="1017" t="str">
        <f t="shared" si="36"/>
        <v/>
      </c>
      <c r="L73" s="1018" t="str">
        <f t="shared" si="37"/>
        <v/>
      </c>
      <c r="M73" s="1412"/>
    </row>
    <row r="74" spans="2:13" s="983" customFormat="1">
      <c r="B74" s="667" t="s">
        <v>2873</v>
      </c>
      <c r="C74" s="657">
        <f>+Print_Mois!$AF$482+Print_Mois!$AF$414</f>
        <v>0</v>
      </c>
      <c r="D74" s="657">
        <f>+Print_Mois!$AC$482+Print_Mois!$AC$414</f>
        <v>263032.48966962897</v>
      </c>
      <c r="E74" s="657">
        <f>+Print_Mois!$Z$482+Print_Mois!$Z$414</f>
        <v>263032.48966962897</v>
      </c>
      <c r="F74" s="657">
        <f>+Print_Mois!$AL$482+Print_Mois!$AL$414</f>
        <v>223891.21000000014</v>
      </c>
      <c r="G74" s="659">
        <f t="shared" si="34"/>
        <v>-263032.48966962897</v>
      </c>
      <c r="H74" s="658">
        <f t="shared" si="34"/>
        <v>-263032.48966962897</v>
      </c>
      <c r="I74" s="660">
        <f t="shared" si="34"/>
        <v>-223891.21000000014</v>
      </c>
      <c r="J74" s="671">
        <f t="shared" si="35"/>
        <v>-1</v>
      </c>
      <c r="K74" s="672">
        <f t="shared" si="36"/>
        <v>-1</v>
      </c>
      <c r="L74" s="673">
        <f t="shared" si="37"/>
        <v>-1</v>
      </c>
      <c r="M74" s="1412"/>
    </row>
    <row r="75" spans="2:13">
      <c r="B75" s="633" t="s">
        <v>2874</v>
      </c>
      <c r="C75" s="1052" t="e">
        <f>+C74/Print_Mois!$AF$405</f>
        <v>#DIV/0!</v>
      </c>
      <c r="D75" s="1052">
        <f>+D74/Print_Mois!$AC$405</f>
        <v>5.0307630386692025E-2</v>
      </c>
      <c r="E75" s="1052">
        <f>+E74/Print_Mois!$Z$405</f>
        <v>5.0307630386692025E-2</v>
      </c>
      <c r="F75" s="1052">
        <f>+F74/Print_Mois!$AL$405</f>
        <v>4.371827929055333E-2</v>
      </c>
      <c r="G75" s="973" t="str">
        <f t="shared" si="34"/>
        <v/>
      </c>
      <c r="H75" s="974" t="str">
        <f t="shared" si="34"/>
        <v/>
      </c>
      <c r="I75" s="975" t="str">
        <f t="shared" si="34"/>
        <v/>
      </c>
      <c r="J75" s="1016" t="str">
        <f t="shared" si="35"/>
        <v/>
      </c>
      <c r="K75" s="1017" t="str">
        <f t="shared" si="36"/>
        <v/>
      </c>
      <c r="L75" s="1018" t="str">
        <f t="shared" si="37"/>
        <v/>
      </c>
      <c r="M75" s="1412"/>
    </row>
    <row r="76" spans="2:13" s="983" customFormat="1">
      <c r="B76" s="667" t="s">
        <v>2875</v>
      </c>
      <c r="C76" s="657">
        <f>Q9+Print_Mois!$AF$497</f>
        <v>0</v>
      </c>
      <c r="D76" s="657">
        <f>+Print_Mois!$AC$497</f>
        <v>246937.91121469773</v>
      </c>
      <c r="E76" s="657">
        <f>+Print_Mois!$Z$497</f>
        <v>246937.91121469773</v>
      </c>
      <c r="F76" s="657">
        <f>+Print_Mois!$AL$497</f>
        <v>204198.17000000013</v>
      </c>
      <c r="G76" s="659">
        <f t="shared" si="34"/>
        <v>-246937.91121469773</v>
      </c>
      <c r="H76" s="658">
        <f t="shared" si="34"/>
        <v>-246937.91121469773</v>
      </c>
      <c r="I76" s="660">
        <f>+IFERROR($C76-F76,"")</f>
        <v>-204198.17000000013</v>
      </c>
      <c r="J76" s="671">
        <f t="shared" si="35"/>
        <v>-1</v>
      </c>
      <c r="K76" s="672">
        <f t="shared" si="36"/>
        <v>-1</v>
      </c>
      <c r="L76" s="673">
        <f t="shared" si="37"/>
        <v>-1</v>
      </c>
      <c r="M76" s="1412"/>
    </row>
    <row r="77" spans="2:13">
      <c r="B77" s="979" t="s">
        <v>2876</v>
      </c>
      <c r="C77" s="1053" t="e">
        <f>+C76/Print_Mois!$AF$405</f>
        <v>#DIV/0!</v>
      </c>
      <c r="D77" s="1053">
        <f>+D76/Print_Mois!$AC$405</f>
        <v>4.7229379083374844E-2</v>
      </c>
      <c r="E77" s="1053">
        <f>+E76/Print_Mois!$Z$405</f>
        <v>4.7229379083374844E-2</v>
      </c>
      <c r="F77" s="1053">
        <f>+F76/Print_Mois!$AL$405</f>
        <v>3.98729035708007E-2</v>
      </c>
      <c r="G77" s="980" t="str">
        <f t="shared" si="34"/>
        <v/>
      </c>
      <c r="H77" s="981" t="str">
        <f t="shared" si="34"/>
        <v/>
      </c>
      <c r="I77" s="982" t="str">
        <f t="shared" si="34"/>
        <v/>
      </c>
      <c r="J77" s="1035" t="str">
        <f t="shared" si="35"/>
        <v/>
      </c>
      <c r="K77" s="1036" t="str">
        <f t="shared" si="36"/>
        <v/>
      </c>
      <c r="L77" s="1037" t="str">
        <f t="shared" si="37"/>
        <v/>
      </c>
      <c r="M77" s="1413"/>
    </row>
    <row r="79" spans="2:13">
      <c r="B79" s="1105"/>
      <c r="C79" s="1184"/>
    </row>
    <row r="80" spans="2:13">
      <c r="B80" s="983"/>
      <c r="C80" s="1184"/>
    </row>
    <row r="82" spans="2:3">
      <c r="B82" s="1105"/>
      <c r="C82" s="1107"/>
    </row>
    <row r="83" spans="2:3">
      <c r="C83" s="110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2"/>
  <sheetViews>
    <sheetView tabSelected="1" topLeftCell="C447" zoomScale="70" zoomScaleNormal="70" workbookViewId="0">
      <pane xSplit="1" topLeftCell="V1" activePane="topRight" state="frozen"/>
      <selection activeCell="C1" sqref="C1"/>
      <selection pane="topRight" activeCell="AC503" sqref="AC503"/>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91" t="str">
        <f>Parametres!B1</f>
        <v>Volks</v>
      </c>
      <c r="D1" s="19"/>
      <c r="E1" s="1205"/>
      <c r="F1" s="19"/>
      <c r="G1" s="19"/>
      <c r="H1" s="18"/>
      <c r="I1" s="19"/>
      <c r="J1" s="18"/>
      <c r="K1" s="5" t="s">
        <v>75</v>
      </c>
      <c r="L1" s="19"/>
      <c r="M1" s="19"/>
      <c r="N1" s="20"/>
      <c r="O1" s="18"/>
      <c r="P1" s="19"/>
      <c r="Q1" s="18"/>
      <c r="R1" s="19"/>
      <c r="S1" s="6" t="str">
        <f>CONCATENATE("Réalisé,"," ",Parametres!B3," ",Parametres!B4)</f>
        <v>Réalisé, Octobre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33" t="s">
        <v>3351</v>
      </c>
      <c r="W2" s="1328"/>
    </row>
    <row r="3" spans="1:54" ht="21" thickTop="1">
      <c r="B3" s="24"/>
      <c r="C3" s="257"/>
      <c r="D3" s="1421" t="s">
        <v>77</v>
      </c>
      <c r="E3" s="1422"/>
      <c r="F3" s="1423"/>
      <c r="G3" s="1424" t="s">
        <v>78</v>
      </c>
      <c r="H3" s="1422"/>
      <c r="I3" s="1423"/>
      <c r="J3" s="1424" t="s">
        <v>79</v>
      </c>
      <c r="K3" s="1422"/>
      <c r="L3" s="1423"/>
      <c r="M3" s="1424" t="s">
        <v>80</v>
      </c>
      <c r="N3" s="1423"/>
      <c r="O3" s="1421" t="s">
        <v>81</v>
      </c>
      <c r="P3" s="1422"/>
      <c r="Q3" s="1423"/>
      <c r="R3" s="1424" t="s">
        <v>82</v>
      </c>
      <c r="S3" s="1425"/>
      <c r="T3" s="25"/>
      <c r="U3" s="25"/>
      <c r="V3" s="1329" t="s">
        <v>2863</v>
      </c>
      <c r="W3" s="1330">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29" t="s">
        <v>2864</v>
      </c>
      <c r="W4" s="1330">
        <v>0.1</v>
      </c>
      <c r="X4" s="24"/>
      <c r="Y4" s="24"/>
      <c r="Z4" s="24"/>
      <c r="AA4" s="24"/>
      <c r="AB4" s="24"/>
      <c r="AC4" s="24"/>
      <c r="AD4" s="24"/>
      <c r="AE4" s="24"/>
      <c r="AF4" s="24"/>
      <c r="AG4" s="24"/>
      <c r="AH4" s="24"/>
      <c r="AI4" s="24"/>
      <c r="AJ4" s="24"/>
      <c r="AK4" s="24"/>
      <c r="AL4" s="24"/>
      <c r="AM4" s="24"/>
      <c r="AN4" s="24"/>
    </row>
    <row r="5" spans="1:54" ht="20.25">
      <c r="A5" s="564" t="s">
        <v>3002</v>
      </c>
      <c r="B5" s="24" t="s">
        <v>75</v>
      </c>
      <c r="C5" s="541" t="s">
        <v>88</v>
      </c>
      <c r="D5" s="416"/>
      <c r="E5" s="416"/>
      <c r="F5" s="171">
        <f>+INDEX('Budget original'!$A$2:$AO$500,MATCH($A5,'Budget original'!$A$2:$A$500,0),MATCH(F$2,'Budget original'!$A$2:$AO$2,0))</f>
        <v>3055858.4665131117</v>
      </c>
      <c r="G5" s="416"/>
      <c r="H5" s="416"/>
      <c r="I5" s="620">
        <f>+INDEX('Budget révisé'!$A$2:$AO$500,MATCH($A5,'Budget révisé'!$A$2:$A$500,0),MATCH(I$2,'Budget révisé'!$A$2:$AO$2,0))</f>
        <v>3055858.4665131117</v>
      </c>
      <c r="J5" s="304"/>
      <c r="K5" s="178"/>
      <c r="L5" s="171">
        <f>-SUMIFS(BV_Data_An_Cour!$P:$P,BV_Data_An_Cour!$Y:$Y,"Oui",BV_Data_An_Cour!$V:$V,$B5)</f>
        <v>0</v>
      </c>
      <c r="M5" s="417"/>
      <c r="N5" s="418"/>
      <c r="O5" s="304"/>
      <c r="P5" s="178"/>
      <c r="Q5" s="171">
        <f>-SUMIFS(BV_Data_An_Prec!$O:$O,BV_Data_An_Prec!$X:$X,"Oui",BV_Data_An_Prec!$U:$U,$B5)</f>
        <v>2974831.87</v>
      </c>
      <c r="R5" s="417"/>
      <c r="S5" s="419"/>
      <c r="T5" s="216"/>
      <c r="U5" s="216"/>
      <c r="V5" s="1329" t="s">
        <v>2865</v>
      </c>
      <c r="W5" s="1330">
        <v>0.22500000000000001</v>
      </c>
      <c r="X5" s="24"/>
      <c r="Y5" s="24"/>
      <c r="Z5" s="24"/>
      <c r="AA5" s="24"/>
      <c r="AB5" s="24"/>
      <c r="AC5" s="24"/>
      <c r="AD5" s="24"/>
      <c r="AE5" s="24"/>
      <c r="AF5" s="24"/>
      <c r="AG5" s="24"/>
      <c r="AH5" s="24"/>
      <c r="AI5" s="24"/>
      <c r="AJ5" s="24"/>
      <c r="AK5" s="24"/>
      <c r="AL5" s="24"/>
      <c r="AM5" s="24"/>
      <c r="AN5" s="24"/>
    </row>
    <row r="6" spans="1:54" ht="20.25">
      <c r="A6" s="564" t="s">
        <v>3003</v>
      </c>
      <c r="B6" s="24" t="s">
        <v>75</v>
      </c>
      <c r="C6" s="258" t="s">
        <v>89</v>
      </c>
      <c r="D6" s="173">
        <f>+INDEX('Budget original'!$A$2:$AO$500,MATCH($A6,'Budget original'!$A$2:$A$500,0),MATCH(D$2,'Budget original'!$A$2:$AO$2,0))</f>
        <v>15.585542168674699</v>
      </c>
      <c r="E6" s="173">
        <f>IF(D6=0,0,F6/D6)</f>
        <v>1450.6297619047618</v>
      </c>
      <c r="F6" s="173">
        <f>+INDEX('Budget original'!$A$2:$AO$500,MATCH($A6,'Budget original'!$A$2:$A$500,0),MATCH(F$2,'Budget original'!$A$2:$AO$2,0))</f>
        <v>22608.851325301206</v>
      </c>
      <c r="G6" s="176">
        <f>+INDEX('Budget original'!$A$2:$AO$500,MATCH($A6,'Budget original'!$A$2:$A$500,0),MATCH(G$2,'Budget original'!$A$2:$AO$2,0))</f>
        <v>15.585542168674699</v>
      </c>
      <c r="H6" s="173">
        <f>IF(G6=0,0,I6/G6)</f>
        <v>1450.6297619047618</v>
      </c>
      <c r="I6" s="173">
        <f>+INDEX('Budget révisé'!$A$2:$AO$500,MATCH($A6,'Budget révisé'!$A$2:$A$500,0),MATCH(I$2,'Budget révisé'!$A$2:$AO$2,0))</f>
        <v>22608.851325301206</v>
      </c>
      <c r="J6" s="176">
        <f>-SUMIFS(BV_Data_An_Cour!$P:$P,BV_Data_An_Cour!$V:$V,$B6,BV_Data_An_Cour!$W:$W,$C6,BV_Data_An_Cour!$X:$X,J$2)</f>
        <v>0</v>
      </c>
      <c r="K6" s="173">
        <f>IF(J6=0,0,L6/J6)</f>
        <v>0</v>
      </c>
      <c r="L6" s="548">
        <f>-SUMIFS(BV_Data_An_Cour!$P:$P,BV_Data_An_Cour!$V:$V,$B6,BV_Data_An_Cour!$W:$W,$C6,BV_Data_An_Cour!$X:$X,L$2)</f>
        <v>0</v>
      </c>
      <c r="M6" s="176">
        <f t="shared" ref="M6" si="0">J6-G6</f>
        <v>-15.585542168674699</v>
      </c>
      <c r="N6" s="174">
        <f>L6-I6</f>
        <v>-22608.851325301206</v>
      </c>
      <c r="O6" s="1011">
        <f>-SUMIFS(BV_Data_An_Prec!$O:$O,BV_Data_An_Prec!$U:$U,$B6,BV_Data_An_Prec!$V:$V,$C6,BV_Data_An_Prec!$W:$W,O$2)</f>
        <v>20</v>
      </c>
      <c r="P6" s="173">
        <f>IF(O6=0,0,Q6/O6)</f>
        <v>1031.3070000000007</v>
      </c>
      <c r="Q6" s="548">
        <f>-SUMIFS(BV_Data_An_Prec!$O:$O,BV_Data_An_Prec!$U:$U,$B6,BV_Data_An_Prec!$V:$V,$C6,BV_Data_An_Prec!$W:$W,Q$2)</f>
        <v>20626.140000000014</v>
      </c>
      <c r="R6" s="176">
        <f t="shared" ref="R6" si="1">J6-O6</f>
        <v>-20</v>
      </c>
      <c r="S6" s="393">
        <f t="shared" ref="S6" si="2">L6-Q6</f>
        <v>-20626.140000000014</v>
      </c>
      <c r="T6" s="216"/>
      <c r="U6" s="216"/>
      <c r="V6" s="1329" t="s">
        <v>2866</v>
      </c>
      <c r="W6" s="1330">
        <v>2.5000000000000001E-2</v>
      </c>
      <c r="X6" s="24"/>
      <c r="Y6" s="24"/>
      <c r="Z6" s="24"/>
      <c r="AA6" s="24"/>
      <c r="AB6" s="24"/>
      <c r="AC6" s="24"/>
      <c r="AD6" s="24"/>
      <c r="AE6" s="24"/>
      <c r="AF6" s="24"/>
      <c r="AG6" s="24"/>
      <c r="AH6" s="24"/>
      <c r="AI6" s="24"/>
      <c r="AJ6" s="24"/>
      <c r="AK6" s="24"/>
      <c r="AL6" s="24"/>
      <c r="AM6" s="24"/>
      <c r="AN6" s="24"/>
    </row>
    <row r="7" spans="1:54" s="564" customFormat="1" ht="20.25">
      <c r="A7" s="564" t="s">
        <v>3004</v>
      </c>
      <c r="B7" s="24" t="s">
        <v>75</v>
      </c>
      <c r="C7" s="258" t="s">
        <v>90</v>
      </c>
      <c r="D7" s="173">
        <f>+INDEX('Budget original'!$A$2:$AO$500,MATCH($A7,'Budget original'!$A$2:$A$500,0),MATCH(D$2,'Budget original'!$A$2:$AO$2,0))</f>
        <v>53.807228915662655</v>
      </c>
      <c r="E7" s="173">
        <f t="shared" ref="E7:E12" si="3">IF(D7=0,0,F7/D7)</f>
        <v>2081.8275862068967</v>
      </c>
      <c r="F7" s="173">
        <f>+INDEX('Budget original'!$A$2:$AO$500,MATCH($A7,'Budget original'!$A$2:$A$500,0),MATCH(F$2,'Budget original'!$A$2:$AO$2,0))</f>
        <v>112017.37349397593</v>
      </c>
      <c r="G7" s="176">
        <f>+INDEX('Budget original'!$A$2:$AO$500,MATCH($A7,'Budget original'!$A$2:$A$500,0),MATCH(G$2,'Budget original'!$A$2:$AO$2,0))</f>
        <v>53.807228915662655</v>
      </c>
      <c r="H7" s="173">
        <f t="shared" ref="H7:H12" si="4">IF(G7=0,0,I7/G7)</f>
        <v>2081.8275862068967</v>
      </c>
      <c r="I7" s="173">
        <f>+INDEX('Budget révisé'!$A$2:$AO$500,MATCH($A7,'Budget révisé'!$A$2:$A$500,0),MATCH(I$2,'Budget révisé'!$A$2:$AO$2,0))</f>
        <v>112017.37349397593</v>
      </c>
      <c r="J7" s="176">
        <f>-SUMIFS(BV_Data_An_Cour!$P:$P,BV_Data_An_Cour!$V:$V,$B7,BV_Data_An_Cour!$W:$W,$C7,BV_Data_An_Cour!$X:$X,J$2)</f>
        <v>0</v>
      </c>
      <c r="K7" s="173">
        <f t="shared" ref="K7:K12" si="5">IF(J7=0,0,L7/J7)</f>
        <v>0</v>
      </c>
      <c r="L7" s="961">
        <f>-SUMIFS(BV_Data_An_Cour!$P:$P,BV_Data_An_Cour!$V:$V,$B7,BV_Data_An_Cour!$W:$W,$C7,BV_Data_An_Cour!$X:$X,L$2)</f>
        <v>0</v>
      </c>
      <c r="M7" s="176">
        <f t="shared" ref="M7:M12" si="6">J7-G7</f>
        <v>-53.807228915662655</v>
      </c>
      <c r="N7" s="174">
        <f t="shared" ref="N7:N12" si="7">L7-I7</f>
        <v>-112017.37349397593</v>
      </c>
      <c r="O7" s="176">
        <f>-SUMIFS(BV_Data_An_Prec!$O:$O,BV_Data_An_Prec!$U:$U,$B7,BV_Data_An_Prec!$V:$V,$C7,BV_Data_An_Prec!$W:$W,O$2)</f>
        <v>45</v>
      </c>
      <c r="P7" s="173">
        <f t="shared" ref="P7:P12" si="8">IF(O7=0,0,Q7/O7)</f>
        <v>2464.832000000004</v>
      </c>
      <c r="Q7" s="548">
        <f>-SUMIFS(BV_Data_An_Prec!$O:$O,BV_Data_An_Prec!$U:$U,$B7,BV_Data_An_Prec!$V:$V,$C7,BV_Data_An_Prec!$W:$W,Q$2)</f>
        <v>110917.44000000018</v>
      </c>
      <c r="R7" s="176">
        <f t="shared" ref="R7:R12" si="9">J7-O7</f>
        <v>-45</v>
      </c>
      <c r="S7" s="393">
        <f t="shared" ref="S7:S12" si="10">L7-Q7</f>
        <v>-110917.44000000018</v>
      </c>
      <c r="T7" s="216"/>
      <c r="U7" s="216"/>
      <c r="V7" s="1329" t="s">
        <v>2867</v>
      </c>
      <c r="W7" s="1330">
        <v>0.2</v>
      </c>
      <c r="X7" s="24"/>
      <c r="Y7" s="24"/>
      <c r="Z7" s="24"/>
      <c r="AA7" s="24"/>
      <c r="AB7" s="24"/>
      <c r="AC7" s="24"/>
      <c r="AD7" s="24"/>
      <c r="AE7" s="24"/>
      <c r="AF7" s="24"/>
      <c r="AG7" s="24"/>
      <c r="AH7" s="24"/>
      <c r="AI7" s="24"/>
      <c r="AJ7" s="24"/>
      <c r="AK7" s="24"/>
      <c r="AL7" s="24"/>
      <c r="AM7" s="24"/>
      <c r="AN7" s="24"/>
    </row>
    <row r="8" spans="1:54" s="564" customFormat="1" ht="21" thickBot="1">
      <c r="A8" s="564" t="s">
        <v>3005</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31"/>
      <c r="W8" s="1332">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3006</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3007</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3007</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3007</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3008</v>
      </c>
      <c r="B13" s="24" t="s">
        <v>75</v>
      </c>
      <c r="C13" s="394" t="s">
        <v>93</v>
      </c>
      <c r="D13" s="395">
        <f>+SUM(D6:D12)</f>
        <v>69.392771084337355</v>
      </c>
      <c r="E13" s="395">
        <f>IF(D13&lt;=0,0,F13/D13)</f>
        <v>1940.061229946524</v>
      </c>
      <c r="F13" s="396">
        <f>+SUM(F6:F12)</f>
        <v>134626.22481927712</v>
      </c>
      <c r="G13" s="397">
        <f>+SUM(G6:G12)</f>
        <v>69.392771084337355</v>
      </c>
      <c r="H13" s="395">
        <f>IF(G13&lt;=0,0,I13/G13)</f>
        <v>1940.061229946524</v>
      </c>
      <c r="I13" s="396">
        <f>+SUM(I6:I12)</f>
        <v>134626.22481927712</v>
      </c>
      <c r="J13" s="1206">
        <f>+SUM(J6:J12)</f>
        <v>0</v>
      </c>
      <c r="K13" s="395">
        <f>IF(J13&lt;=0,0,L13/J13)</f>
        <v>0</v>
      </c>
      <c r="L13" s="396">
        <f>+SUM(L6:L12)</f>
        <v>0</v>
      </c>
      <c r="M13" s="397">
        <f>+SUM(M6:M12)</f>
        <v>-69.392771084337355</v>
      </c>
      <c r="N13" s="396">
        <f>+SUM(N6:N12)</f>
        <v>-134626.22481927712</v>
      </c>
      <c r="O13" s="397">
        <f>+SUM(O6:O12)</f>
        <v>65</v>
      </c>
      <c r="P13" s="395">
        <f>IF(O13&lt;=0,0,Q13/O13)</f>
        <v>2023.7473846153875</v>
      </c>
      <c r="Q13" s="396">
        <f>+SUM(Q6:Q12)</f>
        <v>131543.58000000019</v>
      </c>
      <c r="R13" s="397">
        <f>+SUM(R6:R12)</f>
        <v>-65</v>
      </c>
      <c r="S13" s="398">
        <f>+SUM(S6:S12)</f>
        <v>-131543.58000000019</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-1</v>
      </c>
      <c r="S14" s="327">
        <f>IF(Q13=0,0,(S13/Q13))</f>
        <v>-1</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3009</v>
      </c>
      <c r="B15" s="24" t="s">
        <v>75</v>
      </c>
      <c r="C15" s="420" t="s">
        <v>94</v>
      </c>
      <c r="D15" s="178">
        <f>+INDEX('Budget original'!$A$2:$AO$500,MATCH($A15,'Budget original'!$A$2:$A$500,0),MATCH(D$2,'Budget original'!$A$2:$AO$2,0))</f>
        <v>6.4939759036144578</v>
      </c>
      <c r="E15" s="178">
        <f t="shared" ref="E15" si="12">IF(D15=0,0,F15/D15)</f>
        <v>1386.1016187312011</v>
      </c>
      <c r="F15" s="171">
        <f>+INDEX('Budget original'!$A$2:$AO$500,MATCH($A15,'Budget original'!$A$2:$A$500,0),MATCH(F$2,'Budget original'!$A$2:$AO$2,0))</f>
        <v>9001.3105120014152</v>
      </c>
      <c r="G15" s="177">
        <f>+INDEX('Budget original'!$A$2:$AO$500,MATCH($A15,'Budget original'!$A$2:$A$500,0),MATCH(G$2,'Budget original'!$A$2:$AO$2,0))</f>
        <v>6.4939759036144578</v>
      </c>
      <c r="H15" s="401">
        <f t="shared" ref="H15" si="13">IF(G15=0,0,I15/G15)</f>
        <v>1386.1016187312011</v>
      </c>
      <c r="I15" s="399">
        <f>+INDEX('Budget révisé'!$A$2:$AO$500,MATCH($A15,'Budget révisé'!$A$2:$A$500,0),MATCH(I$2,'Budget révisé'!$A$2:$AO$2,0))</f>
        <v>9001.3105120014152</v>
      </c>
      <c r="J15" s="1207">
        <f>-SUMIFS(BV_Data_An_Cour!$P:$P,BV_Data_An_Cour!$V:$V,$B15,BV_Data_An_Cour!$W:$W,$C15,BV_Data_An_Cour!$X:$X,J$2)</f>
        <v>0</v>
      </c>
      <c r="K15" s="543">
        <f>IF(J15=0,0,L15/J15)</f>
        <v>0</v>
      </c>
      <c r="L15" s="543">
        <f>-SUMIFS(BV_Data_An_Cour!$P:$P,BV_Data_An_Cour!$V:$V,$B15,BV_Data_An_Cour!$W:$W,$C15,BV_Data_An_Cour!$X:$X,L$2)</f>
        <v>0</v>
      </c>
      <c r="M15" s="400">
        <f>J15-G15</f>
        <v>-6.4939759036144578</v>
      </c>
      <c r="N15" s="399">
        <f>L15-I15</f>
        <v>-9001.3105120014152</v>
      </c>
      <c r="O15" s="542">
        <f>-SUMIFS(BV_Data_An_Prec!$O:$O,BV_Data_An_Prec!$U:$U,$B15,BV_Data_An_Prec!$V:$V,$C15,BV_Data_An_Prec!$W:$W,O$2)</f>
        <v>11</v>
      </c>
      <c r="P15" s="543">
        <f>IF(O15=0,0,Q15/O15)</f>
        <v>2072.3345454545447</v>
      </c>
      <c r="Q15" s="543">
        <f>-SUMIFS(BV_Data_An_Prec!$O:$O,BV_Data_An_Prec!$U:$U,$B15,BV_Data_An_Prec!$V:$V,$C15,BV_Data_An_Prec!$W:$W,Q$2)</f>
        <v>22795.679999999993</v>
      </c>
      <c r="R15" s="400">
        <f>J15-O15</f>
        <v>-11</v>
      </c>
      <c r="S15" s="421">
        <f>L15-Q15</f>
        <v>-22795.679999999993</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3010</v>
      </c>
      <c r="B17" s="24" t="s">
        <v>75</v>
      </c>
      <c r="C17" s="321" t="s">
        <v>95</v>
      </c>
      <c r="D17" s="173">
        <f>+INDEX('Budget original'!$A$2:$AO$500,MATCH($A17,'Budget original'!$A$2:$A$500,0),MATCH(D$2,'Budget original'!$A$2:$AO$2,0))</f>
        <v>1.168141592920354</v>
      </c>
      <c r="E17" s="173">
        <f t="shared" ref="E17" si="14">IF(D17=0,0,F17/D17)</f>
        <v>1938.8731623598244</v>
      </c>
      <c r="F17" s="173">
        <f>+INDEX('Budget original'!$A$2:$AO$500,MATCH($A17,'Budget original'!$A$2:$A$500,0),MATCH(F$2,'Budget original'!$A$2:$AO$2,0))</f>
        <v>2264.8783843495294</v>
      </c>
      <c r="G17" s="176">
        <f>+INDEX('Budget original'!$A$2:$AO$500,MATCH($A17,'Budget original'!$A$2:$A$500,0),MATCH(G$2,'Budget original'!$A$2:$AO$2,0))</f>
        <v>1.168141592920354</v>
      </c>
      <c r="H17" s="173">
        <f t="shared" ref="H17" si="15">IF(G17=0,0,I17/G17)</f>
        <v>1938.8731623598244</v>
      </c>
      <c r="I17" s="173">
        <f>+INDEX('Budget révisé'!$A$2:$AO$500,MATCH($A17,'Budget révisé'!$A$2:$A$500,0),MATCH(I$2,'Budget révisé'!$A$2:$AO$2,0))</f>
        <v>2264.8783843495294</v>
      </c>
      <c r="J17" s="400">
        <f>-SUMIFS(BV_Data_An_Cour!$P:$P,BV_Data_An_Cour!$V:$V,$B17,BV_Data_An_Cour!$W:$W,$C17,BV_Data_An_Cour!$X:$X,J$2)</f>
        <v>0</v>
      </c>
      <c r="K17" s="225">
        <f>IF(J17=0,0,L17/J17)</f>
        <v>0</v>
      </c>
      <c r="L17" s="174">
        <f>-SUMIFS(BV_Data_An_Cour!$P:$P,BV_Data_An_Cour!$V:$V,$B17,BV_Data_An_Cour!$W:$W,$C17,BV_Data_An_Cour!$X:$X,L$2)</f>
        <v>0</v>
      </c>
      <c r="M17" s="400">
        <f>J17-G17</f>
        <v>-1.168141592920354</v>
      </c>
      <c r="N17" s="174">
        <f>L17-I17</f>
        <v>-2264.8783843495294</v>
      </c>
      <c r="O17" s="400">
        <f>-SUMIFS(BV_Data_An_Prec!$O:$O,BV_Data_An_Prec!$U:$U,$B17,BV_Data_An_Prec!$V:$V,$C17,BV_Data_An_Prec!$W:$W,O$2)</f>
        <v>0</v>
      </c>
      <c r="P17" s="173">
        <f>IF(O17=0,0,Q17/O17)</f>
        <v>0</v>
      </c>
      <c r="Q17" s="174">
        <f>-SUMIFS(BV_Data_An_Prec!$O:$O,BV_Data_An_Prec!$U:$U,$B17,BV_Data_An_Prec!$V:$V,$C17,BV_Data_An_Prec!$W:$W,Q$2)</f>
        <v>0</v>
      </c>
      <c r="R17" s="176">
        <f>J17-O17</f>
        <v>0</v>
      </c>
      <c r="S17" s="393">
        <f>L17-Q17</f>
        <v>0</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3011</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4208.019479999999</v>
      </c>
      <c r="G19" s="176">
        <f>+INDEX('Budget original'!$A$2:$AO$500,MATCH($A19,'Budget original'!$A$2:$A$500,0),MATCH(G$2,'Budget original'!$A$2:$AO$2,0))</f>
        <v>0</v>
      </c>
      <c r="H19" s="173">
        <f t="shared" ref="H19" si="17">IF(G19=0,0,I19/G19)</f>
        <v>0</v>
      </c>
      <c r="I19" s="173">
        <f>+INDEX('Budget révisé'!$A$2:$AO$500,MATCH($A19,'Budget révisé'!$A$2:$A$500,0),MATCH(I$2,'Budget révisé'!$A$2:$AO$2,0))</f>
        <v>4208.019479999999</v>
      </c>
      <c r="J19" s="177"/>
      <c r="K19" s="173"/>
      <c r="L19" s="174">
        <f>-SUMIFS(BV_Data_An_Cour!$P:$P,BV_Data_An_Cour!$V:$V,$B19,BV_Data_An_Cour!$W:$W,$C19,BV_Data_An_Cour!$X:$X,L$2)</f>
        <v>0</v>
      </c>
      <c r="M19" s="176"/>
      <c r="N19" s="174">
        <f>L19-I19</f>
        <v>-4208.019479999999</v>
      </c>
      <c r="O19" s="177"/>
      <c r="P19" s="173"/>
      <c r="Q19" s="174">
        <f>-SUMIFS(BV_Data_An_Prec!$O:$O,BV_Data_An_Prec!$U:$U,$B19,BV_Data_An_Prec!$V:$V,$C19,BV_Data_An_Prec!$W:$W,Q$2)</f>
        <v>5310.6100000000151</v>
      </c>
      <c r="R19" s="176">
        <f>O19-K19</f>
        <v>0</v>
      </c>
      <c r="S19" s="393">
        <f>L19-Q19</f>
        <v>-5310.6100000000151</v>
      </c>
      <c r="T19" s="216"/>
      <c r="W19" s="1054"/>
      <c r="X19" s="1055"/>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4"/>
      <c r="X20" s="1055"/>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3012</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2270.8170222305293</v>
      </c>
      <c r="G21" s="297">
        <f>+INDEX('Budget original'!$A$2:$AO$500,MATCH($A21,'Budget original'!$A$2:$A$500,0),MATCH(G$2,'Budget original'!$A$2:$AO$2,0))</f>
        <v>0</v>
      </c>
      <c r="H21" s="173">
        <f t="shared" ref="H21:H23" si="19">IF(G21=0,0,I21/G21)</f>
        <v>0</v>
      </c>
      <c r="I21" s="173">
        <f>+INDEX('Budget révisé'!$A$2:$AO$500,MATCH($A21,'Budget révisé'!$A$2:$A$500,0),MATCH(I$2,'Budget révisé'!$A$2:$AO$2,0))</f>
        <v>2270.8170222305293</v>
      </c>
      <c r="J21" s="176"/>
      <c r="K21" s="173">
        <f>IF(J13=0,0,L21/(J13+J15))</f>
        <v>0</v>
      </c>
      <c r="L21" s="174">
        <f>-SUMIFS(BV_Data_An_Cour!$P:$P,BV_Data_An_Cour!$V:$V,$B21,BV_Data_An_Cour!$W:$W,$C21,BV_Data_An_Cour!$X:$X,L$2)</f>
        <v>0</v>
      </c>
      <c r="M21" s="176"/>
      <c r="N21" s="174">
        <f t="shared" ref="N21:N24" si="20">L21-I21</f>
        <v>-2270.8170222305293</v>
      </c>
      <c r="O21" s="176"/>
      <c r="P21" s="173">
        <f>IF(O13=0,0,Q21/(O13+O15))</f>
        <v>0</v>
      </c>
      <c r="Q21" s="174">
        <f>-SUMIFS(BV_Data_An_Prec!$O:$O,BV_Data_An_Prec!$U:$U,$B21,BV_Data_An_Prec!$V:$V,$C21,BV_Data_An_Prec!$W:$W,Q$2)</f>
        <v>0</v>
      </c>
      <c r="R21" s="176">
        <f t="shared" ref="R21:R23" si="21">O21-K21</f>
        <v>0</v>
      </c>
      <c r="S21" s="393">
        <f t="shared" ref="S21:S24" si="22">L21-Q21</f>
        <v>0</v>
      </c>
      <c r="T21" s="216"/>
      <c r="U21" s="216"/>
      <c r="W21" s="508"/>
      <c r="X21" s="1096"/>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3013</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60729.840564069491</v>
      </c>
      <c r="G22" s="297">
        <f>+INDEX('Budget original'!$A$2:$AO$500,MATCH($A22,'Budget original'!$A$2:$A$500,0),MATCH(G$2,'Budget original'!$A$2:$AO$2,0))</f>
        <v>0</v>
      </c>
      <c r="H22" s="173">
        <f t="shared" si="19"/>
        <v>0</v>
      </c>
      <c r="I22" s="173">
        <f>+INDEX('Budget révisé'!$A$2:$AO$500,MATCH($A22,'Budget révisé'!$A$2:$A$500,0),MATCH(I$2,'Budget révisé'!$A$2:$AO$2,0))</f>
        <v>60729.840564069491</v>
      </c>
      <c r="J22" s="176"/>
      <c r="K22" s="173">
        <f>IF(J13=0,0,L22/(J13+J15))</f>
        <v>0</v>
      </c>
      <c r="L22" s="174">
        <f>-SUMIFS(BV_Data_An_Cour!$P:$P,BV_Data_An_Cour!$V:$V,$B22,BV_Data_An_Cour!$W:$W,$C22,BV_Data_An_Cour!$X:$X,L$2)</f>
        <v>0</v>
      </c>
      <c r="M22" s="176"/>
      <c r="N22" s="174">
        <f t="shared" si="20"/>
        <v>-60729.840564069491</v>
      </c>
      <c r="O22" s="176"/>
      <c r="P22" s="173">
        <f>IF(O13=0,0,Q22/(O13+O15))</f>
        <v>705.43197368421056</v>
      </c>
      <c r="Q22" s="174">
        <f>-SUMIFS(BV_Data_An_Prec!$O:$O,BV_Data_An_Prec!$U:$U,$B22,BV_Data_An_Prec!$V:$V,$C22,BV_Data_An_Prec!$W:$W,Q$2)</f>
        <v>53612.83</v>
      </c>
      <c r="R22" s="176">
        <f t="shared" si="21"/>
        <v>0</v>
      </c>
      <c r="S22" s="393">
        <f t="shared" si="22"/>
        <v>-53612.83</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3014</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1503.0773534590116</v>
      </c>
      <c r="G23" s="297">
        <f>+INDEX('Budget original'!$A$2:$AO$500,MATCH($A23,'Budget original'!$A$2:$A$500,0),MATCH(G$2,'Budget original'!$A$2:$AO$2,0))</f>
        <v>0</v>
      </c>
      <c r="H23" s="173">
        <f t="shared" si="19"/>
        <v>0</v>
      </c>
      <c r="I23" s="173">
        <f>+INDEX('Budget révisé'!$A$2:$AO$500,MATCH($A23,'Budget révisé'!$A$2:$A$500,0),MATCH(I$2,'Budget révisé'!$A$2:$AO$2,0))</f>
        <v>1503.0773534590116</v>
      </c>
      <c r="J23" s="176"/>
      <c r="K23" s="173">
        <f>IF(J13=0,0,L23/(J13+J15))</f>
        <v>0</v>
      </c>
      <c r="L23" s="174">
        <f>-SUMIFS(BV_Data_An_Cour!$P:$P,BV_Data_An_Cour!$V:$V,$B23,BV_Data_An_Cour!$W:$W,$C23,BV_Data_An_Cour!$X:$X,L$2)</f>
        <v>0</v>
      </c>
      <c r="M23" s="400"/>
      <c r="N23" s="174">
        <f t="shared" si="20"/>
        <v>-1503.0773534590116</v>
      </c>
      <c r="O23" s="176"/>
      <c r="P23" s="173">
        <f>IF(O13=0,0,Q23/(O13+O15))</f>
        <v>12.353157894736842</v>
      </c>
      <c r="Q23" s="174">
        <f>-SUMIFS(BV_Data_An_Prec!$O:$O,BV_Data_An_Prec!$U:$U,$B23,BV_Data_An_Prec!$V:$V,$C23,BV_Data_An_Prec!$W:$W,Q$2)</f>
        <v>938.84</v>
      </c>
      <c r="R23" s="176">
        <f t="shared" si="21"/>
        <v>0</v>
      </c>
      <c r="S23" s="393">
        <f t="shared" si="22"/>
        <v>-938.84</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3015</v>
      </c>
      <c r="B24" s="24" t="s">
        <v>75</v>
      </c>
      <c r="C24" s="394" t="s">
        <v>100</v>
      </c>
      <c r="D24" s="395">
        <f>+D15+D13</f>
        <v>75.88674698795181</v>
      </c>
      <c r="E24" s="395">
        <f>IF(D24&lt;=0,0,F24/D24)</f>
        <v>849.99999999999989</v>
      </c>
      <c r="F24" s="396">
        <f>F21+F22+F23</f>
        <v>64503.73493975903</v>
      </c>
      <c r="G24" s="397">
        <f>+G15+G13</f>
        <v>75.88674698795181</v>
      </c>
      <c r="H24" s="395">
        <f>IF(G24&lt;=0,0,I24/G24)</f>
        <v>849.99999999999989</v>
      </c>
      <c r="I24" s="396">
        <f>I21+I22+I23</f>
        <v>64503.73493975903</v>
      </c>
      <c r="J24" s="397">
        <f>+J15+J13</f>
        <v>0</v>
      </c>
      <c r="K24" s="395">
        <f>IF(J24&lt;=0,0,L24/J24)</f>
        <v>0</v>
      </c>
      <c r="L24" s="396">
        <f>L21+L22+L23</f>
        <v>0</v>
      </c>
      <c r="M24" s="425">
        <f>J24-G24</f>
        <v>-75.88674698795181</v>
      </c>
      <c r="N24" s="396">
        <f t="shared" si="20"/>
        <v>-64503.73493975903</v>
      </c>
      <c r="O24" s="397">
        <f>+O15+O13</f>
        <v>76</v>
      </c>
      <c r="P24" s="395">
        <f>IF(O24&lt;=0,0,Q24/O24)</f>
        <v>717.78513157894736</v>
      </c>
      <c r="Q24" s="396">
        <f>Q21+Q22+Q23</f>
        <v>54551.67</v>
      </c>
      <c r="R24" s="405"/>
      <c r="S24" s="398">
        <f t="shared" si="22"/>
        <v>-54551.67</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3016</v>
      </c>
      <c r="B27" s="24" t="s">
        <v>75</v>
      </c>
      <c r="C27" s="263" t="s">
        <v>101</v>
      </c>
      <c r="D27" s="26">
        <f>+D13+D15+D17</f>
        <v>77.054888580872159</v>
      </c>
      <c r="E27" s="27">
        <f>IF(D27&lt;=0,0,F27/D27)</f>
        <v>2785.0818045133046</v>
      </c>
      <c r="F27" s="28">
        <f>F13+F17+F24+F19+F15</f>
        <v>214604.16813538707</v>
      </c>
      <c r="G27" s="29">
        <f>+G13+G15+G17</f>
        <v>77.054888580872159</v>
      </c>
      <c r="H27" s="27">
        <f>IF(G27&lt;=0,0,I27/G27)</f>
        <v>2785.0818045133046</v>
      </c>
      <c r="I27" s="28">
        <f>I13+I17+I24+I19+I15</f>
        <v>214604.16813538707</v>
      </c>
      <c r="J27" s="29">
        <f>+J13+J15+J17</f>
        <v>0</v>
      </c>
      <c r="K27" s="27">
        <f>IF(J27&lt;=0,0,L27/J27)</f>
        <v>0</v>
      </c>
      <c r="L27" s="28">
        <f>L13+L17+L24+L19+L15</f>
        <v>0</v>
      </c>
      <c r="M27" s="29">
        <f>J27-G27</f>
        <v>-77.054888580872159</v>
      </c>
      <c r="N27" s="28">
        <f>L27-I27</f>
        <v>-214604.16813538707</v>
      </c>
      <c r="O27" s="29">
        <f>+O13+O15+O17</f>
        <v>76</v>
      </c>
      <c r="P27" s="27">
        <f>IF(O27&lt;=0,0,Q27/O27)</f>
        <v>2818.441315789476</v>
      </c>
      <c r="Q27" s="28">
        <f>Q13+Q17+Q24+Q19+Q15</f>
        <v>214201.54000000018</v>
      </c>
      <c r="R27" s="29">
        <f>J27-O27</f>
        <v>-76</v>
      </c>
      <c r="S27" s="357">
        <f>L27-Q27</f>
        <v>-214201.54000000018</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3017</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3018</v>
      </c>
      <c r="B31" s="24" t="s">
        <v>75</v>
      </c>
      <c r="C31" s="258" t="s">
        <v>103</v>
      </c>
      <c r="D31" s="1094">
        <f>F31/(F15+F13)</f>
        <v>0.3232944957827108</v>
      </c>
      <c r="E31" s="191">
        <f t="shared" ref="E31:E40" si="23">F31/D$24</f>
        <v>611.8853878769014</v>
      </c>
      <c r="F31" s="173">
        <f>+INDEX('Budget original'!$A$2:$AO$500,MATCH($A31,'Budget original'!$A$2:$A$500,0),MATCH(F$2,'Budget original'!$A$2:$AO$2,0))</f>
        <v>46433.991615439176</v>
      </c>
      <c r="G31" s="952">
        <f>I31/(I15+I13)</f>
        <v>0.3232944957827108</v>
      </c>
      <c r="H31" s="191">
        <f t="shared" ref="H31:H40" si="24">I31/G$24</f>
        <v>611.8853878769014</v>
      </c>
      <c r="I31" s="173">
        <f>+INDEX('Budget révisé'!$A$2:$AO$500,MATCH($A31,'Budget révisé'!$A$2:$A$500,0),MATCH(I$2,'Budget révisé'!$A$2:$AO$2,0))</f>
        <v>46433.991615439176</v>
      </c>
      <c r="J31" s="952" t="e">
        <f>L31/(L15+L13)</f>
        <v>#DIV/0!</v>
      </c>
      <c r="K31" s="191">
        <f t="shared" ref="K31:K36" si="25">IF(L31=0,0,L31/J$24)</f>
        <v>0</v>
      </c>
      <c r="L31" s="173">
        <f>SUMIFS(BV_Data_An_Cour!$P:$P,BV_Data_An_Cour!$V:$V,$B31,BV_Data_An_Cour!$W:$W,$C31,BV_Data_An_Cour!$X:$X,L$2)</f>
        <v>0</v>
      </c>
      <c r="M31" s="297"/>
      <c r="N31" s="298">
        <f t="shared" ref="N31:N53" si="26">L31-I31</f>
        <v>-46433.991615439176</v>
      </c>
      <c r="O31" s="297"/>
      <c r="P31" s="191">
        <f t="shared" ref="P31:P36" si="27">IF(Q31=0,0,Q31/O$24)</f>
        <v>620.08894736842103</v>
      </c>
      <c r="Q31" s="174">
        <f>SUMIFS(BV_Data_An_Prec!$O:$O,BV_Data_An_Prec!$U:$U,$B31,BV_Data_An_Prec!$V:$V,$C31,BV_Data_An_Prec!$W:$W,Q$2)</f>
        <v>47126.76</v>
      </c>
      <c r="R31" s="297"/>
      <c r="S31" s="193">
        <f t="shared" ref="S31:S41" si="28">L31-Q31</f>
        <v>-47126.76</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3019</v>
      </c>
      <c r="B32" s="24" t="s">
        <v>75</v>
      </c>
      <c r="C32" s="320" t="s">
        <v>104</v>
      </c>
      <c r="D32" s="1095">
        <f>F32/F24</f>
        <v>0.3</v>
      </c>
      <c r="E32" s="407">
        <f t="shared" si="23"/>
        <v>254.99999999999994</v>
      </c>
      <c r="F32" s="171">
        <f>+INDEX('Budget original'!$A$2:$AO$500,MATCH($A32,'Budget original'!$A$2:$A$500,0),MATCH(F$2,'Budget original'!$A$2:$AO$2,0))</f>
        <v>19351.120481927708</v>
      </c>
      <c r="G32" s="953">
        <f>I32/I24</f>
        <v>0.3</v>
      </c>
      <c r="H32" s="184">
        <f t="shared" si="24"/>
        <v>254.99999999999994</v>
      </c>
      <c r="I32" s="171">
        <f>+INDEX('Budget révisé'!$A$2:$AO$500,MATCH($A32,'Budget révisé'!$A$2:$A$500,0),MATCH(I$2,'Budget révisé'!$A$2:$AO$2,0))</f>
        <v>19351.120481927708</v>
      </c>
      <c r="J32" s="1089" t="e">
        <f>L32/L24</f>
        <v>#DIV/0!</v>
      </c>
      <c r="K32" s="407">
        <f t="shared" si="25"/>
        <v>0</v>
      </c>
      <c r="L32" s="238">
        <f>SUMIFS(BV_Data_An_Cour!$P:$P,BV_Data_An_Cour!$V:$V,$B32,BV_Data_An_Cour!$W:$W,$C32,BV_Data_An_Cour!$X:$X,L$2)</f>
        <v>0</v>
      </c>
      <c r="M32" s="304"/>
      <c r="N32" s="305">
        <f t="shared" si="26"/>
        <v>-19351.120481927708</v>
      </c>
      <c r="O32" s="304"/>
      <c r="P32" s="407">
        <f t="shared" si="27"/>
        <v>215.33039473684212</v>
      </c>
      <c r="Q32" s="171">
        <f>SUMIFS(BV_Data_An_Prec!$O:$O,BV_Data_An_Prec!$U:$U,$B32,BV_Data_An_Prec!$V:$V,$C32,BV_Data_An_Prec!$W:$W,Q$2)</f>
        <v>16365.11</v>
      </c>
      <c r="R32" s="304"/>
      <c r="S32" s="196">
        <f t="shared" si="28"/>
        <v>-16365.11</v>
      </c>
      <c r="T32" s="216"/>
      <c r="U32" s="1383" t="e">
        <f>(L32+L112)/(L104+L24+L19)</f>
        <v>#DIV/0!</v>
      </c>
      <c r="V32" s="1384" t="s">
        <v>3431</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3020</v>
      </c>
      <c r="B33" s="24" t="s">
        <v>75</v>
      </c>
      <c r="C33" s="258" t="s">
        <v>105</v>
      </c>
      <c r="D33" s="295"/>
      <c r="E33" s="191">
        <f t="shared" si="23"/>
        <v>167.84930226439229</v>
      </c>
      <c r="F33" s="173">
        <f>+INDEX('Budget original'!$A$2:$AO$500,MATCH($A33,'Budget original'!$A$2:$A$500,0),MATCH(F$2,'Budget original'!$A$2:$AO$2,0))</f>
        <v>12737.537533042185</v>
      </c>
      <c r="G33" s="296"/>
      <c r="H33" s="191">
        <f t="shared" si="24"/>
        <v>167.84930226439229</v>
      </c>
      <c r="I33" s="173">
        <f>+INDEX('Budget révisé'!$A$2:$AO$500,MATCH($A33,'Budget révisé'!$A$2:$A$500,0),MATCH(I$2,'Budget révisé'!$A$2:$AO$2,0))</f>
        <v>12737.537533042185</v>
      </c>
      <c r="J33" s="297"/>
      <c r="K33" s="222">
        <f t="shared" si="25"/>
        <v>0</v>
      </c>
      <c r="L33" s="225">
        <f>SUMIFS(BV_Data_An_Cour!$P:$P,BV_Data_An_Cour!$V:$V,$B33,BV_Data_An_Cour!$W:$W,$C33,BV_Data_An_Cour!$X:$X,L$2)</f>
        <v>0</v>
      </c>
      <c r="M33" s="297"/>
      <c r="N33" s="298">
        <f t="shared" si="26"/>
        <v>-12737.537533042185</v>
      </c>
      <c r="O33" s="297"/>
      <c r="P33" s="191">
        <f t="shared" si="27"/>
        <v>187.79999999999998</v>
      </c>
      <c r="Q33" s="174">
        <f>SUMIFS(BV_Data_An_Prec!$O:$O,BV_Data_An_Prec!$U:$U,$B33,BV_Data_An_Prec!$V:$V,$C33,BV_Data_An_Prec!$W:$W,Q$2)</f>
        <v>14272.8</v>
      </c>
      <c r="R33" s="297"/>
      <c r="S33" s="193">
        <f t="shared" si="28"/>
        <v>-14272.8</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3021</v>
      </c>
      <c r="B34" s="24" t="s">
        <v>75</v>
      </c>
      <c r="C34" s="258" t="s">
        <v>106</v>
      </c>
      <c r="D34" s="295"/>
      <c r="E34" s="191">
        <f t="shared" si="23"/>
        <v>7.3548076275245782</v>
      </c>
      <c r="F34" s="173">
        <f>+INDEX('Budget original'!$A$2:$AO$500,MATCH($A34,'Budget original'!$A$2:$A$500,0),MATCH(F$2,'Budget original'!$A$2:$AO$2,0))</f>
        <v>558.13242557501576</v>
      </c>
      <c r="G34" s="296"/>
      <c r="H34" s="191">
        <f t="shared" si="24"/>
        <v>7.3548076275245782</v>
      </c>
      <c r="I34" s="173">
        <f>+INDEX('Budget révisé'!$A$2:$AO$500,MATCH($A34,'Budget révisé'!$A$2:$A$500,0),MATCH(I$2,'Budget révisé'!$A$2:$AO$2,0))</f>
        <v>558.13242557501576</v>
      </c>
      <c r="J34" s="297"/>
      <c r="K34" s="191">
        <f t="shared" si="25"/>
        <v>0</v>
      </c>
      <c r="L34" s="225">
        <f>SUMIFS(BV_Data_An_Cour!$P:$P,BV_Data_An_Cour!$V:$V,$B34,BV_Data_An_Cour!$W:$W,$C34,BV_Data_An_Cour!$X:$X,L$2)</f>
        <v>0</v>
      </c>
      <c r="M34" s="297"/>
      <c r="N34" s="298">
        <f t="shared" si="26"/>
        <v>-558.13242557501576</v>
      </c>
      <c r="O34" s="297"/>
      <c r="P34" s="191">
        <f t="shared" si="27"/>
        <v>10.191447368421052</v>
      </c>
      <c r="Q34" s="174">
        <f>SUMIFS(BV_Data_An_Prec!$O:$O,BV_Data_An_Prec!$U:$U,$B34,BV_Data_An_Prec!$V:$V,$C34,BV_Data_An_Prec!$W:$W,Q$2)</f>
        <v>774.55</v>
      </c>
      <c r="R34" s="297"/>
      <c r="S34" s="193">
        <f t="shared" si="28"/>
        <v>-774.55</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3022</v>
      </c>
      <c r="B35" s="24" t="s">
        <v>75</v>
      </c>
      <c r="C35" s="320" t="s">
        <v>107</v>
      </c>
      <c r="D35" s="301"/>
      <c r="E35" s="407">
        <f t="shared" si="23"/>
        <v>17.733118212476484</v>
      </c>
      <c r="F35" s="171">
        <f>+INDEX('Budget original'!$A$2:$AO$500,MATCH($A35,'Budget original'!$A$2:$A$500,0),MATCH(F$2,'Budget original'!$A$2:$AO$2,0))</f>
        <v>1345.7086550976433</v>
      </c>
      <c r="G35" s="303"/>
      <c r="H35" s="184">
        <f t="shared" si="24"/>
        <v>17.733118212476484</v>
      </c>
      <c r="I35" s="171">
        <f>+INDEX('Budget révisé'!$A$2:$AO$500,MATCH($A35,'Budget révisé'!$A$2:$A$500,0),MATCH(I$2,'Budget révisé'!$A$2:$AO$2,0))</f>
        <v>1345.7086550976433</v>
      </c>
      <c r="J35" s="304"/>
      <c r="K35" s="1120">
        <f t="shared" si="25"/>
        <v>0</v>
      </c>
      <c r="L35" s="238">
        <f>SUMIFS(BV_Data_An_Cour!$P:$P,BV_Data_An_Cour!$V:$V,$B35,BV_Data_An_Cour!$W:$W,$C35,BV_Data_An_Cour!$X:$X,L$2)</f>
        <v>0</v>
      </c>
      <c r="M35" s="304"/>
      <c r="N35" s="305">
        <f t="shared" si="26"/>
        <v>-1345.7086550976433</v>
      </c>
      <c r="O35" s="304"/>
      <c r="P35" s="407">
        <f t="shared" si="27"/>
        <v>31.778157894736839</v>
      </c>
      <c r="Q35" s="174">
        <f>SUMIFS(BV_Data_An_Prec!$O:$O,BV_Data_An_Prec!$U:$U,$B35,BV_Data_An_Prec!$V:$V,$C35,BV_Data_An_Prec!$W:$W,Q$2)</f>
        <v>2415.14</v>
      </c>
      <c r="R35" s="304"/>
      <c r="S35" s="196">
        <f t="shared" si="28"/>
        <v>-2415.14</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3023</v>
      </c>
      <c r="B36" s="24" t="s">
        <v>75</v>
      </c>
      <c r="C36" s="258" t="s">
        <v>108</v>
      </c>
      <c r="D36" s="295"/>
      <c r="E36" s="191">
        <f t="shared" si="23"/>
        <v>195.93765281173592</v>
      </c>
      <c r="F36" s="173">
        <f>+INDEX('Budget original'!$A$2:$AO$500,MATCH($A36,'Budget original'!$A$2:$A$500,0),MATCH(F$2,'Budget original'!$A$2:$AO$2,0))</f>
        <v>14869.071084337349</v>
      </c>
      <c r="G36" s="296"/>
      <c r="H36" s="191">
        <f t="shared" si="24"/>
        <v>195.93765281173592</v>
      </c>
      <c r="I36" s="173">
        <f>+INDEX('Budget révisé'!$A$2:$AO$500,MATCH($A36,'Budget révisé'!$A$2:$A$500,0),MATCH(I$2,'Budget révisé'!$A$2:$AO$2,0))</f>
        <v>14869.071084337349</v>
      </c>
      <c r="J36" s="297"/>
      <c r="K36" s="191">
        <f t="shared" si="25"/>
        <v>0</v>
      </c>
      <c r="L36" s="1121">
        <f>SUMIFS(BV_Data_An_Cour!$P:$P,BV_Data_An_Cour!$V:$V,$B36,BV_Data_An_Cour!$W:$W,$C36,BV_Data_An_Cour!$X:$X,L$2)</f>
        <v>0</v>
      </c>
      <c r="M36" s="172"/>
      <c r="N36" s="298">
        <f t="shared" si="26"/>
        <v>-14869.071084337349</v>
      </c>
      <c r="O36" s="297"/>
      <c r="P36" s="191">
        <f t="shared" si="27"/>
        <v>195.83052631578946</v>
      </c>
      <c r="Q36" s="423">
        <f>SUMIFS(BV_Data_An_Prec!$O:$O,BV_Data_An_Prec!$U:$U,$B36,BV_Data_An_Prec!$V:$V,$C36,BV_Data_An_Prec!$W:$W,Q$2)</f>
        <v>14883.119999999999</v>
      </c>
      <c r="R36" s="297"/>
      <c r="S36" s="193">
        <f t="shared" si="28"/>
        <v>-14883.119999999999</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3024</v>
      </c>
      <c r="B37" s="24" t="s">
        <v>75</v>
      </c>
      <c r="C37" s="258" t="s">
        <v>109</v>
      </c>
      <c r="D37" s="295"/>
      <c r="E37" s="191">
        <f t="shared" si="23"/>
        <v>97.587388321981066</v>
      </c>
      <c r="F37" s="173">
        <f>+INDEX('Budget original'!$A$2:$AO$500,MATCH($A37,'Budget original'!$A$2:$A$500,0),MATCH(F$2,'Budget original'!$A$2:$AO$2,0))</f>
        <v>7405.5894468051802</v>
      </c>
      <c r="G37" s="296"/>
      <c r="H37" s="191">
        <f t="shared" si="24"/>
        <v>97.587388321981066</v>
      </c>
      <c r="I37" s="173">
        <f>+INDEX('Budget révisé'!$A$2:$AO$500,MATCH($A37,'Budget révisé'!$A$2:$A$500,0),MATCH(I$2,'Budget révisé'!$A$2:$AO$2,0))</f>
        <v>7405.5894468051802</v>
      </c>
      <c r="J37" s="297"/>
      <c r="K37" s="191">
        <f t="shared" ref="K37:K40" si="29">IF(L37=0,0,L37/J$24)</f>
        <v>0</v>
      </c>
      <c r="L37" s="624">
        <f>SUMIFS(BV_Data_An_Cour!$P:$P,BV_Data_An_Cour!$V:$V,$B37,BV_Data_An_Cour!$W:$W,$C37,BV_Data_An_Cour!$X:$X,L$2)</f>
        <v>0</v>
      </c>
      <c r="M37" s="172"/>
      <c r="N37" s="298">
        <f t="shared" ref="N37:N40" si="30">L37-I37</f>
        <v>-7405.5894468051802</v>
      </c>
      <c r="O37" s="297"/>
      <c r="P37" s="191">
        <f t="shared" ref="P37:P40" si="31">IF(Q37=0,0,Q37/O$24)</f>
        <v>186.99460526315789</v>
      </c>
      <c r="Q37" s="174">
        <f>SUMIFS(BV_Data_An_Prec!$O:$O,BV_Data_An_Prec!$U:$U,$B37,BV_Data_An_Prec!$V:$V,$C37,BV_Data_An_Prec!$W:$W,Q$2)</f>
        <v>14211.59</v>
      </c>
      <c r="R37" s="297"/>
      <c r="S37" s="193">
        <f t="shared" ref="S37:S40" si="32">L37-Q37</f>
        <v>-14211.59</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3007</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3007</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3007</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3025</v>
      </c>
      <c r="B41" s="24" t="s">
        <v>75</v>
      </c>
      <c r="C41" s="292" t="s">
        <v>110</v>
      </c>
      <c r="D41" s="39" t="s">
        <v>111</v>
      </c>
      <c r="E41" s="40">
        <f>F41/F$27</f>
        <v>0.47856084126676102</v>
      </c>
      <c r="F41" s="41">
        <f>SUM(F31:F40)</f>
        <v>102701.15124222427</v>
      </c>
      <c r="G41" s="42" t="s">
        <v>111</v>
      </c>
      <c r="H41" s="40">
        <f>I41/I$27</f>
        <v>0.47856084126676102</v>
      </c>
      <c r="I41" s="41">
        <f>SUM(I31:I40)</f>
        <v>102701.15124222427</v>
      </c>
      <c r="J41" s="42" t="s">
        <v>111</v>
      </c>
      <c r="K41" s="40" t="e">
        <f>L41/L$27</f>
        <v>#DIV/0!</v>
      </c>
      <c r="L41" s="41">
        <f>SUM(L31:L40)</f>
        <v>0</v>
      </c>
      <c r="M41" s="577"/>
      <c r="N41" s="41">
        <f t="shared" si="26"/>
        <v>-102701.15124222427</v>
      </c>
      <c r="O41" s="42" t="s">
        <v>111</v>
      </c>
      <c r="P41" s="40">
        <f>Q41/Q$27</f>
        <v>0.51376414007107463</v>
      </c>
      <c r="Q41" s="576">
        <f>SUM(Q31:Q40)</f>
        <v>110049.06999999999</v>
      </c>
      <c r="R41" s="44"/>
      <c r="S41" s="310">
        <f t="shared" si="28"/>
        <v>-110049.06999999999</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3026</v>
      </c>
      <c r="B42" s="24" t="s">
        <v>75</v>
      </c>
      <c r="C42" s="299" t="s">
        <v>112</v>
      </c>
      <c r="D42" s="172"/>
      <c r="E42" s="172"/>
      <c r="F42" s="173">
        <f>+INDEX('Budget original'!$A$2:$AO$500,MATCH($A42,'Budget original'!$A$2:$A$500,0),MATCH(F$2,'Budget original'!$A$2:$AO$2,0))</f>
        <v>15359.233908045977</v>
      </c>
      <c r="G42" s="297"/>
      <c r="H42" s="172"/>
      <c r="I42" s="173">
        <f>+INDEX('Budget révisé'!$A$2:$AO$500,MATCH($A42,'Budget révisé'!$A$2:$A$500,0),MATCH(I$2,'Budget révisé'!$A$2:$AO$2,0))</f>
        <v>15359.233908045977</v>
      </c>
      <c r="J42" s="297"/>
      <c r="K42" s="172"/>
      <c r="L42" s="275">
        <f>SUMIFS(BV_Data_An_Cour!$P:$P,BV_Data_An_Cour!$V:$V,$B42,BV_Data_An_Cour!$W:$W,$C42,BV_Data_An_Cour!$X:$X,L$2)</f>
        <v>0</v>
      </c>
      <c r="M42" s="297"/>
      <c r="N42" s="298">
        <f t="shared" si="26"/>
        <v>-15359.233908045977</v>
      </c>
      <c r="O42" s="297"/>
      <c r="P42" s="172"/>
      <c r="Q42" s="174">
        <f>SUMIFS(BV_Data_An_Prec!$O:$O,BV_Data_An_Prec!$U:$U,$B42,BV_Data_An_Prec!$V:$V,$C42,BV_Data_An_Prec!$W:$W,Q$2)</f>
        <v>13316.28</v>
      </c>
      <c r="R42" s="297"/>
      <c r="S42" s="193">
        <f t="shared" ref="S42:S53" si="33">L42-Q42</f>
        <v>-13316.28</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3027</v>
      </c>
      <c r="B43" s="24" t="s">
        <v>75</v>
      </c>
      <c r="C43" s="300" t="s">
        <v>113</v>
      </c>
      <c r="D43" s="295"/>
      <c r="E43" s="172"/>
      <c r="F43" s="171">
        <f>+INDEX('Budget original'!$A$2:$AO$500,MATCH($A43,'Budget original'!$A$2:$A$500,0),MATCH(F$2,'Budget original'!$A$2:$AO$2,0))</f>
        <v>9386.1060598965523</v>
      </c>
      <c r="G43" s="296"/>
      <c r="H43" s="172"/>
      <c r="I43" s="171">
        <f>+INDEX('Budget révisé'!$A$2:$AO$500,MATCH($A43,'Budget révisé'!$A$2:$A$500,0),MATCH(I$2,'Budget révisé'!$A$2:$AO$2,0))</f>
        <v>9386.1060598965523</v>
      </c>
      <c r="J43" s="297"/>
      <c r="K43" s="172"/>
      <c r="L43" s="275">
        <f>SUMIFS(BV_Data_An_Cour!$P:$P,BV_Data_An_Cour!$V:$V,$B43,BV_Data_An_Cour!$W:$W,$C43,BV_Data_An_Cour!$X:$X,L$2)</f>
        <v>0</v>
      </c>
      <c r="M43" s="297"/>
      <c r="N43" s="298">
        <f t="shared" si="26"/>
        <v>-9386.1060598965523</v>
      </c>
      <c r="O43" s="297"/>
      <c r="P43" s="172"/>
      <c r="Q43" s="174">
        <f>SUMIFS(BV_Data_An_Prec!$O:$O,BV_Data_An_Prec!$U:$U,$B43,BV_Data_An_Prec!$V:$V,$C43,BV_Data_An_Prec!$W:$W,Q$2)</f>
        <v>9189.31</v>
      </c>
      <c r="R43" s="297"/>
      <c r="S43" s="193">
        <f t="shared" si="33"/>
        <v>-9189.31</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3028</v>
      </c>
      <c r="B44" s="24" t="s">
        <v>75</v>
      </c>
      <c r="C44" s="299" t="s">
        <v>114</v>
      </c>
      <c r="D44" s="386"/>
      <c r="E44" s="346"/>
      <c r="F44" s="173">
        <f>+INDEX('Budget original'!$A$2:$AO$500,MATCH($A44,'Budget original'!$A$2:$A$500,0),MATCH(F$2,'Budget original'!$A$2:$AO$2,0))</f>
        <v>8515.883889011493</v>
      </c>
      <c r="G44" s="387"/>
      <c r="H44" s="346"/>
      <c r="I44" s="173">
        <f>+INDEX('Budget révisé'!$A$2:$AO$500,MATCH($A44,'Budget révisé'!$A$2:$A$500,0),MATCH(I$2,'Budget révisé'!$A$2:$AO$2,0))</f>
        <v>8515.883889011493</v>
      </c>
      <c r="J44" s="362"/>
      <c r="K44" s="346"/>
      <c r="L44" s="239">
        <f>SUMIFS(BV_Data_An_Cour!$P:$P,BV_Data_An_Cour!$V:$V,$B44,BV_Data_An_Cour!$W:$W,$C44,BV_Data_An_Cour!$X:$X,L$2)</f>
        <v>0</v>
      </c>
      <c r="M44" s="362"/>
      <c r="N44" s="350">
        <f t="shared" si="26"/>
        <v>-8515.883889011493</v>
      </c>
      <c r="O44" s="362"/>
      <c r="P44" s="346"/>
      <c r="Q44" s="175">
        <f>SUMIFS(BV_Data_An_Prec!$O:$O,BV_Data_An_Prec!$U:$U,$B44,BV_Data_An_Prec!$V:$V,$C44,BV_Data_An_Prec!$W:$W,Q$2)</f>
        <v>8825.94</v>
      </c>
      <c r="R44" s="362"/>
      <c r="S44" s="195">
        <f t="shared" si="33"/>
        <v>-8825.94</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3029</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3007</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3007</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3007</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3030</v>
      </c>
      <c r="B49" s="24" t="s">
        <v>75</v>
      </c>
      <c r="C49" s="300" t="s">
        <v>116</v>
      </c>
      <c r="D49" s="295"/>
      <c r="E49" s="172"/>
      <c r="F49" s="171">
        <f>+INDEX('Budget original'!$A$2:$AO$500,MATCH($A49,'Budget original'!$A$2:$A$500,0),MATCH(F$2,'Budget original'!$A$2:$AO$2,0))</f>
        <v>12051.365147069317</v>
      </c>
      <c r="G49" s="296"/>
      <c r="H49" s="172"/>
      <c r="I49" s="171">
        <f>+INDEX('Budget révisé'!$A$2:$AO$500,MATCH($A49,'Budget révisé'!$A$2:$A$500,0),MATCH(I$2,'Budget révisé'!$A$2:$AO$2,0))</f>
        <v>12051.365147069317</v>
      </c>
      <c r="J49" s="297"/>
      <c r="K49" s="172"/>
      <c r="L49" s="171">
        <f>SUMIFS(BV_Data_An_Cour!$P:$P,BV_Data_An_Cour!$V:$V,$B49,BV_Data_An_Cour!$W:$W,$C49,BV_Data_An_Cour!$X:$X,L$2)</f>
        <v>0</v>
      </c>
      <c r="M49" s="297"/>
      <c r="N49" s="298">
        <f t="shared" si="26"/>
        <v>-12051.365147069317</v>
      </c>
      <c r="O49" s="297"/>
      <c r="P49" s="172"/>
      <c r="Q49" s="171">
        <f>SUMIFS(BV_Data_An_Prec!$O:$O,BV_Data_An_Prec!$U:$U,$B49,BV_Data_An_Prec!$V:$V,$C49,BV_Data_An_Prec!$W:$W,Q$2)</f>
        <v>13910.09</v>
      </c>
      <c r="R49" s="297"/>
      <c r="S49" s="193">
        <f t="shared" si="33"/>
        <v>-13910.09</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3031</v>
      </c>
      <c r="B50" s="24" t="s">
        <v>75</v>
      </c>
      <c r="C50" s="274" t="s">
        <v>117</v>
      </c>
      <c r="D50" s="386"/>
      <c r="E50" s="346"/>
      <c r="F50" s="173">
        <f>+INDEX('Budget original'!$A$2:$AO$500,MATCH($A50,'Budget original'!$A$2:$A$500,0),MATCH(F$2,'Budget original'!$A$2:$AO$2,0))</f>
        <v>10793.232823172732</v>
      </c>
      <c r="G50" s="387"/>
      <c r="H50" s="346"/>
      <c r="I50" s="173">
        <f>+INDEX('Budget révisé'!$A$2:$AO$500,MATCH($A50,'Budget révisé'!$A$2:$A$500,0),MATCH(I$2,'Budget révisé'!$A$2:$AO$2,0))</f>
        <v>10793.232823172732</v>
      </c>
      <c r="J50" s="362"/>
      <c r="K50" s="346"/>
      <c r="L50" s="275">
        <f>SUMIFS(BV_Data_An_Cour!$P:$P,BV_Data_An_Cour!$V:$V,$B50,BV_Data_An_Cour!$W:$W,$C50,BV_Data_An_Cour!$X:$X,L$2)</f>
        <v>0</v>
      </c>
      <c r="M50" s="362"/>
      <c r="N50" s="350">
        <f t="shared" si="26"/>
        <v>-10793.232823172732</v>
      </c>
      <c r="O50" s="362"/>
      <c r="P50" s="346"/>
      <c r="Q50" s="174">
        <f>SUMIFS(BV_Data_An_Prec!$O:$O,BV_Data_An_Prec!$U:$U,$B50,BV_Data_An_Prec!$V:$V,$C50,BV_Data_An_Prec!$W:$W,Q$2)</f>
        <v>9422.26</v>
      </c>
      <c r="R50" s="362"/>
      <c r="S50" s="195">
        <f t="shared" si="33"/>
        <v>-9422.26</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3032</v>
      </c>
      <c r="B51" s="24" t="s">
        <v>75</v>
      </c>
      <c r="C51" s="274" t="s">
        <v>118</v>
      </c>
      <c r="D51" s="295"/>
      <c r="E51" s="172"/>
      <c r="F51" s="173">
        <f>+INDEX('Budget original'!$A$2:$AO$500,MATCH($A51,'Budget original'!$A$2:$A$500,0),MATCH(F$2,'Budget original'!$A$2:$AO$2,0))</f>
        <v>8571.0966536959932</v>
      </c>
      <c r="G51" s="296"/>
      <c r="H51" s="172"/>
      <c r="I51" s="173">
        <f>+INDEX('Budget révisé'!$A$2:$AO$500,MATCH($A51,'Budget révisé'!$A$2:$A$500,0),MATCH(I$2,'Budget révisé'!$A$2:$AO$2,0))</f>
        <v>8571.0966536959932</v>
      </c>
      <c r="J51" s="297"/>
      <c r="K51" s="172"/>
      <c r="L51" s="174">
        <f>SUMIFS(BV_Data_An_Cour!$P:$P,BV_Data_An_Cour!$V:$V,$B51,BV_Data_An_Cour!$W:$W,$C51,BV_Data_An_Cour!$X:$X,L$2)</f>
        <v>0</v>
      </c>
      <c r="M51" s="297"/>
      <c r="N51" s="298">
        <f t="shared" si="26"/>
        <v>-8571.0966536959932</v>
      </c>
      <c r="O51" s="297"/>
      <c r="P51" s="172"/>
      <c r="Q51" s="174">
        <f>SUMIFS(BV_Data_An_Prec!$O:$O,BV_Data_An_Prec!$U:$U,$B51,BV_Data_An_Prec!$V:$V,$C51,BV_Data_An_Prec!$W:$W,Q$2)</f>
        <v>6752.62</v>
      </c>
      <c r="R51" s="297"/>
      <c r="S51" s="193">
        <f t="shared" si="33"/>
        <v>-6752.62</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3033</v>
      </c>
      <c r="B52" s="24" t="s">
        <v>75</v>
      </c>
      <c r="C52" s="274" t="s">
        <v>119</v>
      </c>
      <c r="D52" s="295"/>
      <c r="E52" s="172"/>
      <c r="F52" s="173">
        <f>+INDEX('Budget original'!$A$2:$AO$500,MATCH($A52,'Budget original'!$A$2:$A$500,0),MATCH(F$2,'Budget original'!$A$2:$AO$2,0))</f>
        <v>3491.92826632059</v>
      </c>
      <c r="G52" s="296"/>
      <c r="H52" s="172"/>
      <c r="I52" s="173">
        <f>+INDEX('Budget révisé'!$A$2:$AO$500,MATCH($A52,'Budget révisé'!$A$2:$A$500,0),MATCH(I$2,'Budget révisé'!$A$2:$AO$2,0))</f>
        <v>3491.92826632059</v>
      </c>
      <c r="J52" s="297"/>
      <c r="K52" s="172"/>
      <c r="L52" s="174">
        <f>SUMIFS(BV_Data_An_Cour!$P:$P,BV_Data_An_Cour!$V:$V,$B52,BV_Data_An_Cour!$W:$W,$C52,BV_Data_An_Cour!$X:$X,L$2)</f>
        <v>0</v>
      </c>
      <c r="M52" s="297"/>
      <c r="N52" s="298">
        <f t="shared" si="26"/>
        <v>-3491.92826632059</v>
      </c>
      <c r="O52" s="297"/>
      <c r="P52" s="172"/>
      <c r="Q52" s="174">
        <f>SUMIFS(BV_Data_An_Prec!$O:$O,BV_Data_An_Prec!$U:$U,$B52,BV_Data_An_Prec!$V:$V,$C52,BV_Data_An_Prec!$W:$W,Q$2)</f>
        <v>1570.38</v>
      </c>
      <c r="R52" s="297"/>
      <c r="S52" s="193">
        <f t="shared" si="33"/>
        <v>-1570.38</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3007</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3034</v>
      </c>
      <c r="B54" s="24" t="s">
        <v>75</v>
      </c>
      <c r="C54" s="292" t="s">
        <v>120</v>
      </c>
      <c r="D54" s="39" t="s">
        <v>111</v>
      </c>
      <c r="E54" s="40">
        <f>F54/F$27</f>
        <v>0.3176492206069691</v>
      </c>
      <c r="F54" s="41">
        <f>+SUM(F42:F53)</f>
        <v>68168.84674721265</v>
      </c>
      <c r="G54" s="42" t="s">
        <v>111</v>
      </c>
      <c r="H54" s="40">
        <f>I54/I$27</f>
        <v>0.3176492206069691</v>
      </c>
      <c r="I54" s="41">
        <f>+SUM(I42:I53)</f>
        <v>68168.84674721265</v>
      </c>
      <c r="J54" s="42" t="s">
        <v>111</v>
      </c>
      <c r="K54" s="40" t="e">
        <f>L54/L$27</f>
        <v>#DIV/0!</v>
      </c>
      <c r="L54" s="41">
        <f>+SUM(L42:L53)</f>
        <v>0</v>
      </c>
      <c r="M54" s="44"/>
      <c r="N54" s="41">
        <f>+SUM(N42:N53)</f>
        <v>-68168.84674721265</v>
      </c>
      <c r="O54" s="42" t="s">
        <v>111</v>
      </c>
      <c r="P54" s="40">
        <f>Q54/Q$27</f>
        <v>0.2940542817759384</v>
      </c>
      <c r="Q54" s="41">
        <f>+SUM(Q42:Q53)</f>
        <v>62986.879999999997</v>
      </c>
      <c r="R54" s="44"/>
      <c r="S54" s="310">
        <f>+SUM(S42:S53)</f>
        <v>-62986.879999999997</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3035</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3036</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3037</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0</v>
      </c>
      <c r="M57" s="304"/>
      <c r="N57" s="428">
        <f t="shared" si="36"/>
        <v>-7322.9400000000005</v>
      </c>
      <c r="O57" s="304"/>
      <c r="P57" s="302"/>
      <c r="Q57" s="171">
        <f>SUMIFS(BV_Data_An_Prec!$O:$O,BV_Data_An_Prec!$U:$U,$B57,BV_Data_An_Prec!$V:$V,$C57,BV_Data_An_Prec!$W:$W,Q$2)</f>
        <v>6664.84</v>
      </c>
      <c r="R57" s="304"/>
      <c r="S57" s="196">
        <f t="shared" si="37"/>
        <v>-6664.84</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3038</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0</v>
      </c>
      <c r="M58" s="297"/>
      <c r="N58" s="298">
        <f t="shared" si="36"/>
        <v>-6834.1988433333336</v>
      </c>
      <c r="O58" s="297"/>
      <c r="P58" s="172"/>
      <c r="Q58" s="174">
        <f>SUMIFS(BV_Data_An_Prec!$O:$O,BV_Data_An_Prec!$U:$U,$B58,BV_Data_An_Prec!$V:$V,$C58,BV_Data_An_Prec!$W:$W,Q$2)</f>
        <v>5154.88</v>
      </c>
      <c r="R58" s="297"/>
      <c r="S58" s="193">
        <f t="shared" si="37"/>
        <v>-5154.88</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3039</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0</v>
      </c>
      <c r="M59" s="297"/>
      <c r="N59" s="298">
        <f t="shared" si="36"/>
        <v>-792.1418000000001</v>
      </c>
      <c r="O59" s="297"/>
      <c r="P59" s="172"/>
      <c r="Q59" s="174">
        <f>SUMIFS(BV_Data_An_Prec!$O:$O,BV_Data_An_Prec!$U:$U,$B59,BV_Data_An_Prec!$V:$V,$C59,BV_Data_An_Prec!$W:$W,Q$2)</f>
        <v>1019.01</v>
      </c>
      <c r="R59" s="297"/>
      <c r="S59" s="193">
        <f t="shared" si="37"/>
        <v>-1019.01</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3040</v>
      </c>
      <c r="B60" s="24" t="s">
        <v>75</v>
      </c>
      <c r="C60" s="320" t="s">
        <v>126</v>
      </c>
      <c r="D60" s="301"/>
      <c r="E60" s="302"/>
      <c r="F60" s="171">
        <f>+INDEX('Budget original'!$A$2:$AO$500,MATCH($A60,'Budget original'!$A$2:$A$500,0),MATCH(F$2,'Budget original'!$A$2:$AO$2,0))</f>
        <v>6207.1009777777781</v>
      </c>
      <c r="G60" s="303"/>
      <c r="H60" s="302"/>
      <c r="I60" s="171">
        <f>+INDEX('Budget révisé'!$A$2:$AO$500,MATCH($A60,'Budget révisé'!$A$2:$A$500,0),MATCH(I$2,'Budget révisé'!$A$2:$AO$2,0))</f>
        <v>6207.1009777777781</v>
      </c>
      <c r="J60" s="304"/>
      <c r="K60" s="302"/>
      <c r="L60" s="171">
        <f>SUMIFS(BV_Data_An_Cour!$P:$P,BV_Data_An_Cour!$V:$V,$B60,BV_Data_An_Cour!$W:$W,$C60,BV_Data_An_Cour!$X:$X,L$2)</f>
        <v>0</v>
      </c>
      <c r="M60" s="304"/>
      <c r="N60" s="305">
        <f t="shared" si="36"/>
        <v>-6207.1009777777781</v>
      </c>
      <c r="O60" s="304"/>
      <c r="P60" s="302"/>
      <c r="Q60" s="171">
        <f>SUMIFS(BV_Data_An_Prec!$O:$O,BV_Data_An_Prec!$U:$U,$B60,BV_Data_An_Prec!$V:$V,$C60,BV_Data_An_Prec!$W:$W,Q$2)</f>
        <v>6678</v>
      </c>
      <c r="R60" s="304"/>
      <c r="S60" s="196">
        <f t="shared" si="37"/>
        <v>-6678</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3041</v>
      </c>
      <c r="B61" s="24" t="s">
        <v>75</v>
      </c>
      <c r="C61" s="258" t="s">
        <v>127</v>
      </c>
      <c r="D61" s="295"/>
      <c r="E61" s="172"/>
      <c r="F61" s="173">
        <f>+INDEX('Budget original'!$A$2:$AO$500,MATCH($A61,'Budget original'!$A$2:$A$500,0),MATCH(F$2,'Budget original'!$A$2:$AO$2,0))</f>
        <v>89.804909921362054</v>
      </c>
      <c r="G61" s="296"/>
      <c r="H61" s="172"/>
      <c r="I61" s="173">
        <f>+INDEX('Budget révisé'!$A$2:$AO$500,MATCH($A61,'Budget révisé'!$A$2:$A$500,0),MATCH(I$2,'Budget révisé'!$A$2:$AO$2,0))</f>
        <v>89.804909921362054</v>
      </c>
      <c r="J61" s="297"/>
      <c r="K61" s="172"/>
      <c r="L61" s="174">
        <f>SUMIFS(BV_Data_An_Cour!$P:$P,BV_Data_An_Cour!$V:$V,$B61,BV_Data_An_Cour!$W:$W,$C61,BV_Data_An_Cour!$X:$X,L$2)</f>
        <v>0</v>
      </c>
      <c r="M61" s="297"/>
      <c r="N61" s="298">
        <f t="shared" si="36"/>
        <v>-89.804909921362054</v>
      </c>
      <c r="O61" s="297"/>
      <c r="P61" s="172"/>
      <c r="Q61" s="174">
        <f>SUMIFS(BV_Data_An_Prec!$O:$O,BV_Data_An_Prec!$U:$U,$B61,BV_Data_An_Prec!$V:$V,$C61,BV_Data_An_Prec!$W:$W,Q$2)</f>
        <v>-22.05</v>
      </c>
      <c r="R61" s="297"/>
      <c r="S61" s="193">
        <f t="shared" si="37"/>
        <v>22.05</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3042</v>
      </c>
      <c r="B62" s="24" t="s">
        <v>75</v>
      </c>
      <c r="C62" s="258" t="s">
        <v>128</v>
      </c>
      <c r="D62" s="295"/>
      <c r="E62" s="172"/>
      <c r="F62" s="173">
        <f>+INDEX('Budget original'!$A$2:$AO$500,MATCH($A62,'Budget original'!$A$2:$A$500,0),MATCH(F$2,'Budget original'!$A$2:$AO$2,0))</f>
        <v>47.719968360328004</v>
      </c>
      <c r="G62" s="296"/>
      <c r="H62" s="172"/>
      <c r="I62" s="173">
        <f>+INDEX('Budget révisé'!$A$2:$AO$500,MATCH($A62,'Budget révisé'!$A$2:$A$500,0),MATCH(I$2,'Budget révisé'!$A$2:$AO$2,0))</f>
        <v>47.719968360328004</v>
      </c>
      <c r="J62" s="297"/>
      <c r="K62" s="172"/>
      <c r="L62" s="174">
        <f>SUMIFS(BV_Data_An_Cour!$P:$P,BV_Data_An_Cour!$V:$V,$B62,BV_Data_An_Cour!$W:$W,$C62,BV_Data_An_Cour!$X:$X,L$2)</f>
        <v>0</v>
      </c>
      <c r="M62" s="297"/>
      <c r="N62" s="298">
        <f t="shared" si="36"/>
        <v>-47.719968360328004</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3043</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0</v>
      </c>
      <c r="M63" s="297"/>
      <c r="N63" s="298">
        <f t="shared" si="36"/>
        <v>-652.86432000000002</v>
      </c>
      <c r="O63" s="297"/>
      <c r="P63" s="172"/>
      <c r="Q63" s="548">
        <f>SUMIFS(BV_Data_An_Prec!$O:$O,BV_Data_An_Prec!$U:$U,$B63,BV_Data_An_Prec!$V:$V,$C63,BV_Data_An_Prec!$W:$W,Q$2)</f>
        <v>821.86</v>
      </c>
      <c r="R63" s="297"/>
      <c r="S63" s="193">
        <f t="shared" si="37"/>
        <v>-821.86</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3044</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0</v>
      </c>
      <c r="M64" s="297"/>
      <c r="N64" s="298">
        <f t="shared" si="36"/>
        <v>-301.4645266666667</v>
      </c>
      <c r="O64" s="297"/>
      <c r="P64" s="172"/>
      <c r="Q64" s="174">
        <f>SUMIFS(BV_Data_An_Prec!$O:$O,BV_Data_An_Prec!$U:$U,$B64,BV_Data_An_Prec!$V:$V,$C64,BV_Data_An_Prec!$W:$W,Q$2)</f>
        <v>228.24</v>
      </c>
      <c r="R64" s="297"/>
      <c r="S64" s="193">
        <f t="shared" si="37"/>
        <v>-228.24</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3045</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0</v>
      </c>
      <c r="M65" s="297"/>
      <c r="N65" s="298">
        <f t="shared" si="36"/>
        <v>-160.91707333333329</v>
      </c>
      <c r="O65" s="297"/>
      <c r="P65" s="172"/>
      <c r="Q65" s="174">
        <f>SUMIFS(BV_Data_An_Prec!$O:$O,BV_Data_An_Prec!$U:$U,$B65,BV_Data_An_Prec!$V:$V,$C65,BV_Data_An_Prec!$W:$W,Q$2)</f>
        <v>326.10000000000002</v>
      </c>
      <c r="R65" s="297"/>
      <c r="S65" s="193">
        <f t="shared" si="37"/>
        <v>-326.10000000000002</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3046</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0</v>
      </c>
      <c r="M66" s="297"/>
      <c r="N66" s="298">
        <f t="shared" si="36"/>
        <v>-776.23359333333315</v>
      </c>
      <c r="O66" s="297"/>
      <c r="P66" s="172"/>
      <c r="Q66" s="174">
        <f>SUMIFS(BV_Data_An_Prec!$O:$O,BV_Data_An_Prec!$U:$U,$B66,BV_Data_An_Prec!$V:$V,$C66,BV_Data_An_Prec!$W:$W,Q$2)</f>
        <v>1357.86</v>
      </c>
      <c r="R66" s="297"/>
      <c r="S66" s="193">
        <f t="shared" si="37"/>
        <v>-1357.86</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3047</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0</v>
      </c>
      <c r="M67" s="297"/>
      <c r="N67" s="298">
        <f t="shared" ref="N67" si="38">L67-I67</f>
        <v>-1153.2562666666668</v>
      </c>
      <c r="O67" s="297"/>
      <c r="P67" s="172"/>
      <c r="Q67" s="174">
        <f>SUMIFS(BV_Data_An_Prec!$O:$O,BV_Data_An_Prec!$U:$U,$B67,BV_Data_An_Prec!$V:$V,$C67,BV_Data_An_Prec!$W:$W,Q$2)</f>
        <v>423.33</v>
      </c>
      <c r="R67" s="297"/>
      <c r="S67" s="193">
        <f t="shared" ref="S67" si="39">L67-Q67</f>
        <v>-423.33</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3048</v>
      </c>
      <c r="B68" s="24" t="s">
        <v>75</v>
      </c>
      <c r="C68" s="258" t="s">
        <v>134</v>
      </c>
      <c r="D68" s="295"/>
      <c r="E68" s="172"/>
      <c r="F68" s="173">
        <f>+INDEX('Budget original'!$A$2:$AO$500,MATCH($A68,'Budget original'!$A$2:$A$500,0),MATCH(F$2,'Budget original'!$A$2:$AO$2,0))</f>
        <v>2986.7566934421529</v>
      </c>
      <c r="G68" s="296"/>
      <c r="H68" s="172"/>
      <c r="I68" s="173">
        <f>+INDEX('Budget révisé'!$A$2:$AO$500,MATCH($A68,'Budget révisé'!$A$2:$A$500,0),MATCH(I$2,'Budget révisé'!$A$2:$AO$2,0))</f>
        <v>2986.7566934421529</v>
      </c>
      <c r="J68" s="297"/>
      <c r="K68" s="172"/>
      <c r="L68" s="961">
        <f>AF447*W3</f>
        <v>0</v>
      </c>
      <c r="M68" s="297"/>
      <c r="N68" s="298">
        <f t="shared" ref="N68:N69" si="40">L68-I68</f>
        <v>-2986.7566934421529</v>
      </c>
      <c r="O68" s="297"/>
      <c r="P68" s="172"/>
      <c r="Q68" s="275">
        <f>AL447*W3</f>
        <v>4101.3675000000003</v>
      </c>
      <c r="R68" s="297"/>
      <c r="S68" s="193">
        <f t="shared" ref="S68:S69" si="41">L68-Q68</f>
        <v>-4101.3675000000003</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3007</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3007</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3007</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3049</v>
      </c>
      <c r="B72" s="24" t="s">
        <v>75</v>
      </c>
      <c r="C72" s="292" t="s">
        <v>135</v>
      </c>
      <c r="D72" s="39" t="s">
        <v>111</v>
      </c>
      <c r="E72" s="40">
        <f>F72/F$27</f>
        <v>0.12732930217644334</v>
      </c>
      <c r="F72" s="41">
        <f>+SUM(F55:F71)</f>
        <v>27325.398972834955</v>
      </c>
      <c r="G72" s="42" t="s">
        <v>111</v>
      </c>
      <c r="H72" s="40">
        <f>I72/I$27</f>
        <v>0.12732930217644334</v>
      </c>
      <c r="I72" s="41">
        <f>+SUM(I55:I71)</f>
        <v>27325.398972834955</v>
      </c>
      <c r="J72" s="42" t="s">
        <v>111</v>
      </c>
      <c r="K72" s="40" t="e">
        <f>L72/L$27</f>
        <v>#DIV/0!</v>
      </c>
      <c r="L72" s="41">
        <f>+SUM(L55:L71)</f>
        <v>0</v>
      </c>
      <c r="M72" s="44"/>
      <c r="N72" s="41">
        <f>+SUM(N55:N71)</f>
        <v>-27325.398972834955</v>
      </c>
      <c r="O72" s="42" t="s">
        <v>111</v>
      </c>
      <c r="P72" s="40">
        <f>Q72/Q$27</f>
        <v>0.12489843677127617</v>
      </c>
      <c r="Q72" s="41">
        <f>+SUM(Q55:Q71)</f>
        <v>26753.437500000007</v>
      </c>
      <c r="R72" s="44"/>
      <c r="S72" s="310">
        <f>+SUM(S55:S71)</f>
        <v>-26753.437500000007</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3050</v>
      </c>
      <c r="B74" s="24" t="s">
        <v>75</v>
      </c>
      <c r="C74" s="292" t="s">
        <v>136</v>
      </c>
      <c r="D74" s="39" t="s">
        <v>111</v>
      </c>
      <c r="E74" s="40">
        <f>F74/F$27</f>
        <v>0.92353936405017345</v>
      </c>
      <c r="F74" s="41">
        <f>F41+F54+F72</f>
        <v>198195.39696227186</v>
      </c>
      <c r="G74" s="42" t="s">
        <v>111</v>
      </c>
      <c r="H74" s="40">
        <f>I74/I$27</f>
        <v>0.92353936405017345</v>
      </c>
      <c r="I74" s="41">
        <f>I41+I54+I72</f>
        <v>198195.39696227186</v>
      </c>
      <c r="J74" s="42" t="s">
        <v>111</v>
      </c>
      <c r="K74" s="40" t="e">
        <f>L74/L$27</f>
        <v>#DIV/0!</v>
      </c>
      <c r="L74" s="41">
        <f>L41+L54+L72</f>
        <v>0</v>
      </c>
      <c r="M74" s="44"/>
      <c r="N74" s="46">
        <f>L74-I74</f>
        <v>-198195.39696227186</v>
      </c>
      <c r="O74" s="42" t="s">
        <v>111</v>
      </c>
      <c r="P74" s="40">
        <f>Q74/Q$27</f>
        <v>0.93271685861828912</v>
      </c>
      <c r="Q74" s="41">
        <f>Q41+Q54+Q72</f>
        <v>199789.38749999998</v>
      </c>
      <c r="R74" s="44"/>
      <c r="S74" s="293">
        <f>L74-Q74</f>
        <v>-199789.38749999998</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3051</v>
      </c>
      <c r="B75" s="24" t="s">
        <v>75</v>
      </c>
      <c r="C75" s="258" t="s">
        <v>137</v>
      </c>
      <c r="D75" s="295"/>
      <c r="E75" s="172"/>
      <c r="F75" s="173">
        <f>+INDEX('Budget original'!$A$2:$AO$500,MATCH($A75,'Budget original'!$A$2:$A$500,0),MATCH(F$2,'Budget original'!$A$2:$AO$2,0))</f>
        <v>0</v>
      </c>
      <c r="G75" s="296"/>
      <c r="H75" s="172"/>
      <c r="I75" s="173">
        <f>+INDEX('Budget révisé'!$A$2:$AO$500,MATCH($A75,'Budget révisé'!$A$2:$A$500,0),MATCH(I$2,'Budget révisé'!$A$2:$AO$2,0))</f>
        <v>0</v>
      </c>
      <c r="J75" s="297"/>
      <c r="K75" s="172"/>
      <c r="L75" s="961">
        <f>-SUMIFS(BV_Data_An_Cour!$P:$P,BV_Data_An_Cour!$V:$V,$B75,BV_Data_An_Cour!$W:$W,$C75,BV_Data_An_Cour!$X:$X,L$2)-L155</f>
        <v>0</v>
      </c>
      <c r="M75" s="297"/>
      <c r="N75" s="298">
        <f>L75-I75</f>
        <v>0</v>
      </c>
      <c r="O75" s="297"/>
      <c r="P75" s="172"/>
      <c r="Q75" s="548">
        <f>-SUMIFS(BV_Data_An_Prec!$O:$O,BV_Data_An_Prec!$U:$U,$B75,BV_Data_An_Prec!$V:$V,$C75,BV_Data_An_Prec!$W:$W,Q$2)-Q155</f>
        <v>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3052</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3053</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3054</v>
      </c>
      <c r="B78" s="24" t="s">
        <v>75</v>
      </c>
      <c r="C78" s="258" t="s">
        <v>140</v>
      </c>
      <c r="D78" s="295"/>
      <c r="E78" s="172"/>
      <c r="F78" s="173">
        <f>+INDEX('Budget original'!$A$2:$AO$500,MATCH($A78,'Budget original'!$A$2:$A$500,0),MATCH(F$2,'Budget original'!$A$2:$AO$2,0))</f>
        <v>80545.632451807207</v>
      </c>
      <c r="G78" s="296"/>
      <c r="H78" s="172"/>
      <c r="I78" s="173">
        <f>+INDEX('Budget révisé'!$A$2:$AO$500,MATCH($A78,'Budget révisé'!$A$2:$A$500,0),MATCH(I$2,'Budget révisé'!$A$2:$AO$2,0))</f>
        <v>80545.632451807207</v>
      </c>
      <c r="J78" s="297"/>
      <c r="K78" s="172"/>
      <c r="L78" s="275">
        <f>-SUMIFS(BV_Data_An_Cour!$P:$P,BV_Data_An_Cour!$V:$V,$B78,BV_Data_An_Cour!$W:$W,$C78,BV_Data_An_Cour!$X:$X,L$2)</f>
        <v>0</v>
      </c>
      <c r="M78" s="297"/>
      <c r="N78" s="298">
        <f t="shared" si="42"/>
        <v>-80545.632451807207</v>
      </c>
      <c r="O78" s="297"/>
      <c r="P78" s="172"/>
      <c r="Q78" s="548">
        <f>-SUMIFS(BV_Data_An_Prec!$O:$O,BV_Data_An_Prec!$U:$U,$B78,BV_Data_An_Prec!$V:$V,$C78,BV_Data_An_Prec!$W:$W,Q$2)</f>
        <v>54257.65</v>
      </c>
      <c r="R78" s="297"/>
      <c r="S78" s="193">
        <f t="shared" si="43"/>
        <v>-54257.65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3007</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3007</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3007</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
        <v>3055</v>
      </c>
      <c r="B82" s="24" t="s">
        <v>75</v>
      </c>
      <c r="C82" s="258" t="s">
        <v>141</v>
      </c>
      <c r="D82" s="295"/>
      <c r="E82" s="172"/>
      <c r="F82" s="173">
        <f>+INDEX('Budget original'!$A$2:$AO$500,MATCH($A82,'Budget original'!$A$2:$A$500,0),MATCH(F$2,'Budget original'!$A$2:$AO$2,0))</f>
        <v>27670.410489391194</v>
      </c>
      <c r="G82" s="296"/>
      <c r="H82" s="172"/>
      <c r="I82" s="173">
        <f>+INDEX('Budget révisé'!$A$2:$AO$500,MATCH($A82,'Budget révisé'!$A$2:$A$500,0),MATCH(I$2,'Budget révisé'!$A$2:$AO$2,0))</f>
        <v>27670.410489391194</v>
      </c>
      <c r="J82" s="342">
        <f>L82/399</f>
        <v>0</v>
      </c>
      <c r="K82" s="1186" t="e">
        <f>J82/(J13+J15)</f>
        <v>#DIV/0!</v>
      </c>
      <c r="L82" s="961">
        <f>-SUMIFS(BV_Data_An_Cour!$P:$P,BV_Data_An_Cour!$V:$V,$B82,BV_Data_An_Cour!$W:$W,$C82,BV_Data_An_Cour!$X:$X,L$2)-L158</f>
        <v>0</v>
      </c>
      <c r="M82" s="297"/>
      <c r="N82" s="298">
        <f t="shared" si="42"/>
        <v>-27670.410489391194</v>
      </c>
      <c r="O82" s="297"/>
      <c r="P82" s="172"/>
      <c r="Q82" s="548">
        <f>-SUMIFS(BV_Data_An_Prec!$O:$O,BV_Data_An_Prec!$U:$U,$B82,BV_Data_An_Prec!$V:$V,$C82,BV_Data_An_Prec!$W:$W,Q$2)-Q158</f>
        <v>24467.489999999998</v>
      </c>
      <c r="R82" s="297"/>
      <c r="S82" s="193">
        <f t="shared" si="43"/>
        <v>-24467.489999999998</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3056</v>
      </c>
      <c r="B83" s="24" t="s">
        <v>75</v>
      </c>
      <c r="C83" s="292" t="s">
        <v>142</v>
      </c>
      <c r="D83" s="39"/>
      <c r="E83" s="40"/>
      <c r="F83" s="41">
        <f>+SUM(F75:F82)</f>
        <v>108216.04294119839</v>
      </c>
      <c r="G83" s="42"/>
      <c r="H83" s="40"/>
      <c r="I83" s="41">
        <f>+SUM(I75:I82)</f>
        <v>108216.04294119839</v>
      </c>
      <c r="J83" s="42"/>
      <c r="K83" s="40"/>
      <c r="L83" s="41">
        <f>+SUM(L75:L82)</f>
        <v>0</v>
      </c>
      <c r="M83" s="44"/>
      <c r="N83" s="41">
        <f>+SUM(N75:N82)</f>
        <v>-108216.04294119839</v>
      </c>
      <c r="O83" s="42"/>
      <c r="P83" s="40"/>
      <c r="Q83" s="41">
        <f>+SUM(Q75:Q82)</f>
        <v>78725.14</v>
      </c>
      <c r="R83" s="44"/>
      <c r="S83" s="310">
        <f>+SUM(S75:S82)</f>
        <v>-78725.14</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3057</v>
      </c>
      <c r="B85" s="24" t="s">
        <v>75</v>
      </c>
      <c r="C85" s="334" t="s">
        <v>143</v>
      </c>
      <c r="D85" s="336"/>
      <c r="E85" s="340"/>
      <c r="F85" s="337">
        <f>F27-F74+F83</f>
        <v>124624.8141143136</v>
      </c>
      <c r="G85" s="430"/>
      <c r="H85" s="340"/>
      <c r="I85" s="337">
        <f>I27-I74+I83</f>
        <v>124624.8141143136</v>
      </c>
      <c r="J85" s="430"/>
      <c r="K85" s="336"/>
      <c r="L85" s="337">
        <f>L27-L74+L83</f>
        <v>0</v>
      </c>
      <c r="M85" s="430"/>
      <c r="N85" s="337">
        <f>N27-N41-N54-N72+N83</f>
        <v>-124624.81411431359</v>
      </c>
      <c r="O85" s="430"/>
      <c r="P85" s="336"/>
      <c r="Q85" s="337">
        <f>Q27-Q74+Q83</f>
        <v>93137.2925000002</v>
      </c>
      <c r="R85" s="430"/>
      <c r="S85" s="341">
        <f>S27-S41-S54-S72+S83</f>
        <v>-93137.292500000185</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7"/>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91" t="str">
        <f>C1</f>
        <v>Volks</v>
      </c>
      <c r="D89" s="19"/>
      <c r="E89" s="19"/>
      <c r="F89" s="19"/>
      <c r="G89" s="19"/>
      <c r="H89" s="18"/>
      <c r="I89" s="18"/>
      <c r="J89" s="18"/>
      <c r="K89" s="5" t="s">
        <v>144</v>
      </c>
      <c r="L89" s="19"/>
      <c r="M89" s="19"/>
      <c r="N89" s="18"/>
      <c r="O89" s="18"/>
      <c r="P89" s="19"/>
      <c r="Q89" s="18"/>
      <c r="R89" s="19"/>
      <c r="S89" s="6" t="str">
        <f>$S$1</f>
        <v>Réalisé, Octobre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21" t="s">
        <v>77</v>
      </c>
      <c r="E91" s="1422"/>
      <c r="F91" s="1423"/>
      <c r="G91" s="1424" t="s">
        <v>145</v>
      </c>
      <c r="H91" s="1422"/>
      <c r="I91" s="1423"/>
      <c r="J91" s="1424" t="s">
        <v>79</v>
      </c>
      <c r="K91" s="1422"/>
      <c r="L91" s="1423"/>
      <c r="M91" s="1424" t="s">
        <v>80</v>
      </c>
      <c r="N91" s="1423"/>
      <c r="O91" s="1421" t="s">
        <v>81</v>
      </c>
      <c r="P91" s="1422"/>
      <c r="Q91" s="1423"/>
      <c r="R91" s="1424" t="s">
        <v>82</v>
      </c>
      <c r="S91" s="1425"/>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3058</v>
      </c>
      <c r="B93" s="24" t="s">
        <v>144</v>
      </c>
      <c r="C93" s="320" t="s">
        <v>88</v>
      </c>
      <c r="D93" s="178"/>
      <c r="E93" s="178"/>
      <c r="F93" s="171">
        <f>+INDEX('Budget original'!$A$2:$AO$500,MATCH($A93,'Budget original'!$A$2:$A$500,0),MATCH(F$2,'Budget original'!$A$2:$AO$2,0))</f>
        <v>1273899.5674360471</v>
      </c>
      <c r="G93" s="177"/>
      <c r="H93" s="178"/>
      <c r="I93" s="171">
        <f>+INDEX('Budget révisé'!$A$2:$AO$500,MATCH($A93,'Budget révisé'!$A$2:$A$500,0),MATCH(I$2,'Budget révisé'!$A$2:$AO$2,0))</f>
        <v>1273899.5674360471</v>
      </c>
      <c r="J93" s="562"/>
      <c r="K93" s="178"/>
      <c r="L93" s="171">
        <f>-SUMIFS(BV_Data_An_Cour!$P:$P,BV_Data_An_Cour!$Y:$Y,"Oui",BV_Data_An_Cour!$V:$V,$B93)</f>
        <v>0</v>
      </c>
      <c r="M93" s="389"/>
      <c r="N93" s="390"/>
      <c r="O93" s="562"/>
      <c r="P93" s="178"/>
      <c r="Q93" s="171">
        <f>-SUMIFS(BV_Data_An_Prec!$O:$O,BV_Data_An_Prec!$X:$X,"Oui",BV_Data_An_Prec!$U:$U,$B93)</f>
        <v>1348680.6199999999</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3059</v>
      </c>
      <c r="B94" s="24" t="s">
        <v>144</v>
      </c>
      <c r="C94" s="258" t="s">
        <v>146</v>
      </c>
      <c r="D94" s="173">
        <f>+INDEX('Budget original'!$A$2:$AO$500,MATCH($A94,'Budget original'!$A$2:$A$500,0),MATCH(D$2,'Budget original'!$A$2:$AO$2,0))</f>
        <v>38.883495145631066</v>
      </c>
      <c r="E94" s="173">
        <f>IF(D94=0,0,F94/D94)</f>
        <v>1300</v>
      </c>
      <c r="F94" s="173">
        <f>+INDEX('Budget original'!$A$2:$AO$500,MATCH($A94,'Budget original'!$A$2:$A$500,0),MATCH(F$2,'Budget original'!$A$2:$AO$2,0))</f>
        <v>50548.543689320388</v>
      </c>
      <c r="G94" s="176">
        <f>+INDEX('Budget révisé'!$A$2:$AO$500,MATCH($A94,'Budget révisé'!$A$2:$A$500,0),MATCH(G$2,'Budget révisé'!$A$2:$AO$2,0))</f>
        <v>38.883495145631066</v>
      </c>
      <c r="H94" s="173">
        <f>IF(G94=0,0,I94/G94)</f>
        <v>1300</v>
      </c>
      <c r="I94" s="173">
        <f>+INDEX('Budget révisé'!$A$2:$AO$500,MATCH($A94,'Budget révisé'!$A$2:$A$500,0),MATCH(I$2,'Budget révisé'!$A$2:$AO$2,0))</f>
        <v>50548.543689320388</v>
      </c>
      <c r="J94" s="563">
        <f>-SUMIFS(BV_Data_An_Cour!$P:$P,BV_Data_An_Cour!$V:$V,$B94,BV_Data_An_Cour!$W:$W,$C94,BV_Data_An_Cour!$X:$X,J$2)</f>
        <v>0</v>
      </c>
      <c r="K94" s="173">
        <f t="shared" ref="K94:K95" si="46">IF(J94=0,0,L94/J94)</f>
        <v>0</v>
      </c>
      <c r="L94" s="275">
        <f>-SUMIFS(BV_Data_An_Cour!$P:$P,BV_Data_An_Cour!$V:$V,$B94,BV_Data_An_Cour!$W:$W,$C94,BV_Data_An_Cour!$X:$X,$L2)</f>
        <v>0</v>
      </c>
      <c r="M94" s="176">
        <f>J94-G94</f>
        <v>-38.883495145631066</v>
      </c>
      <c r="N94" s="174">
        <f>L94-I94</f>
        <v>-50548.543689320388</v>
      </c>
      <c r="O94" s="563">
        <f>-SUMIFS(BV_Data_An_Prec!$O:$O,BV_Data_An_Prec!$U:$U,$B94,BV_Data_An_Prec!$V:$V,$C94,BV_Data_An_Prec!$W:$W,O$2)</f>
        <v>33</v>
      </c>
      <c r="P94" s="173">
        <f t="shared" ref="P94:P95" si="47">IF(O94=0,0,Q94/O94)</f>
        <v>1315.2084848484828</v>
      </c>
      <c r="Q94" s="174">
        <f>-SUMIFS(BV_Data_An_Prec!$O:$O,BV_Data_An_Prec!$U:$U,$B94,BV_Data_An_Prec!$V:$V,$C94,BV_Data_An_Prec!$W:$W,$L2)</f>
        <v>43401.879999999932</v>
      </c>
      <c r="R94" s="176">
        <f t="shared" ref="R94:R95" si="48">J94-O94</f>
        <v>-33</v>
      </c>
      <c r="S94" s="393">
        <f t="shared" ref="S94:S95" si="49">L94-Q94</f>
        <v>-43401.879999999932</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3060</v>
      </c>
      <c r="B95" s="24" t="s">
        <v>144</v>
      </c>
      <c r="C95" s="258" t="s">
        <v>147</v>
      </c>
      <c r="D95" s="173">
        <f>+INDEX('Budget original'!$A$2:$AO$500,MATCH($A95,'Budget original'!$A$2:$A$500,0),MATCH(D$2,'Budget original'!$A$2:$AO$2,0))</f>
        <v>2.1844660194174756</v>
      </c>
      <c r="E95" s="178">
        <f t="shared" ref="E95:E104" si="50">IF(D95=0,0,F95/D95)</f>
        <v>900</v>
      </c>
      <c r="F95" s="173">
        <f>+INDEX('Budget original'!$A$2:$AO$500,MATCH($A95,'Budget original'!$A$2:$A$500,0),MATCH(F$2,'Budget original'!$A$2:$AO$2,0))</f>
        <v>1966.019417475728</v>
      </c>
      <c r="G95" s="176">
        <f>+INDEX('Budget révisé'!$A$2:$AO$500,MATCH($A95,'Budget révisé'!$A$2:$A$500,0),MATCH(G$2,'Budget révisé'!$A$2:$AO$2,0))</f>
        <v>2.1844660194174756</v>
      </c>
      <c r="H95" s="173">
        <f t="shared" ref="H95:H97" si="51">IF(G95=0,0,I95/G95)</f>
        <v>900</v>
      </c>
      <c r="I95" s="173">
        <f>+INDEX('Budget révisé'!$A$2:$AO$500,MATCH($A95,'Budget révisé'!$A$2:$A$500,0),MATCH(I$2,'Budget révisé'!$A$2:$AO$2,0))</f>
        <v>1966.019417475728</v>
      </c>
      <c r="J95" s="176">
        <f>-SUMIFS(BV_Data_An_Cour!$P:$P,BV_Data_An_Cour!$V:$V,$B95,BV_Data_An_Cour!$W:$W,$C95,BV_Data_An_Cour!$X:$X,J$2)</f>
        <v>0</v>
      </c>
      <c r="K95" s="173">
        <f t="shared" si="46"/>
        <v>0</v>
      </c>
      <c r="L95" s="548">
        <f>-SUMIFS(BV_Data_An_Cour!$P:$P,BV_Data_An_Cour!$V:$V,$B95,BV_Data_An_Cour!$W:$W,$C95,BV_Data_An_Cour!$X:$X,$L2)</f>
        <v>0</v>
      </c>
      <c r="M95" s="176">
        <f>J95-G95</f>
        <v>-2.1844660194174756</v>
      </c>
      <c r="N95" s="174">
        <f>L95-I95</f>
        <v>-1966.019417475728</v>
      </c>
      <c r="O95" s="176">
        <f>-SUMIFS(BV_Data_An_Prec!$O:$O,BV_Data_An_Prec!$U:$U,$B95,BV_Data_An_Prec!$V:$V,$C95,BV_Data_An_Prec!$W:$W,O$2)</f>
        <v>1</v>
      </c>
      <c r="P95" s="173">
        <f t="shared" si="47"/>
        <v>651.63000000000011</v>
      </c>
      <c r="Q95" s="548">
        <f>-SUMIFS(BV_Data_An_Prec!$O:$O,BV_Data_An_Prec!$U:$U,$B95,BV_Data_An_Prec!$V:$V,$C95,BV_Data_An_Prec!$W:$W,$L2)</f>
        <v>651.63000000000011</v>
      </c>
      <c r="R95" s="176">
        <f t="shared" si="48"/>
        <v>-1</v>
      </c>
      <c r="S95" s="393">
        <f t="shared" si="49"/>
        <v>-651.63000000000011</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3061</v>
      </c>
      <c r="B96" s="24" t="s">
        <v>144</v>
      </c>
      <c r="C96" s="394" t="s">
        <v>148</v>
      </c>
      <c r="D96" s="395">
        <f>+D95+D94</f>
        <v>41.067961165048544</v>
      </c>
      <c r="E96" s="173">
        <f t="shared" si="50"/>
        <v>1278.7234042553191</v>
      </c>
      <c r="F96" s="396">
        <f t="shared" ref="F96" si="52">+F94+F95</f>
        <v>52514.563106796115</v>
      </c>
      <c r="G96" s="397">
        <f>+G95+G94</f>
        <v>41.067961165048544</v>
      </c>
      <c r="H96" s="395">
        <f t="shared" si="51"/>
        <v>1278.7234042553191</v>
      </c>
      <c r="I96" s="396">
        <f t="shared" ref="I96" si="53">+I94+I95</f>
        <v>52514.563106796115</v>
      </c>
      <c r="J96" s="1206">
        <f t="shared" ref="J96" si="54">+J94+J95</f>
        <v>0</v>
      </c>
      <c r="K96" s="395">
        <f>IF(J96&lt;=0,0,L96/J96)</f>
        <v>0</v>
      </c>
      <c r="L96" s="396">
        <f>+L94+L95</f>
        <v>0</v>
      </c>
      <c r="M96" s="397">
        <f>J96-G96</f>
        <v>-41.067961165048544</v>
      </c>
      <c r="N96" s="396">
        <f>L96-I96</f>
        <v>-52514.563106796115</v>
      </c>
      <c r="O96" s="397">
        <f t="shared" ref="O96" si="55">+O94+O95</f>
        <v>34</v>
      </c>
      <c r="P96" s="395">
        <f>IF(O96&lt;=0,0,Q96/O96)</f>
        <v>1295.6914705882332</v>
      </c>
      <c r="Q96" s="396">
        <f>+Q94+Q95</f>
        <v>44053.509999999929</v>
      </c>
      <c r="R96" s="397">
        <f t="shared" ref="R96:S96" si="56">R94+R95</f>
        <v>-34</v>
      </c>
      <c r="S96" s="398">
        <f t="shared" si="56"/>
        <v>-44053.509999999929</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3062</v>
      </c>
      <c r="B98" s="24" t="s">
        <v>144</v>
      </c>
      <c r="C98" s="258" t="s">
        <v>149</v>
      </c>
      <c r="D98" s="173"/>
      <c r="E98" s="173"/>
      <c r="F98" s="173"/>
      <c r="G98" s="176"/>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3063</v>
      </c>
      <c r="B99" s="24" t="s">
        <v>144</v>
      </c>
      <c r="C99" s="258" t="s">
        <v>150</v>
      </c>
      <c r="D99" s="173">
        <f>+INDEX('Budget original'!$A$2:$AO$500,MATCH($A99,'Budget original'!$A$2:$A$500,0),MATCH(D$2,'Budget original'!$A$2:$AO$2,0))</f>
        <v>35.737048838876952</v>
      </c>
      <c r="E99" s="173">
        <f t="shared" si="50"/>
        <v>212</v>
      </c>
      <c r="F99" s="173">
        <f>+INDEX('Budget original'!$A$2:$AO$500,MATCH($A99,'Budget original'!$A$2:$A$500,0),MATCH(F$2,'Budget original'!$A$2:$AO$2,0))</f>
        <v>7576.2543538419141</v>
      </c>
      <c r="G99" s="176">
        <f>+INDEX('Budget révisé'!$A$2:$AO$500,MATCH($A99,'Budget révisé'!$A$2:$A$500,0),MATCH(G$2,'Budget révisé'!$A$2:$AO$2,0))</f>
        <v>35.737048838876952</v>
      </c>
      <c r="H99" s="173">
        <f t="shared" ref="H99:H104" si="57">IF(G99=0,0,I99/G99)</f>
        <v>212</v>
      </c>
      <c r="I99" s="173">
        <f>+INDEX('Budget révisé'!$A$2:$AO$500,MATCH($A99,'Budget révisé'!$A$2:$A$500,0),MATCH(I$2,'Budget révisé'!$A$2:$AO$2,0))</f>
        <v>7576.2543538419141</v>
      </c>
      <c r="J99" s="176">
        <f>-SUMIFS(BV_Data_An_Cour!$P:$P,BV_Data_An_Cour!$V:$V,$B99,BV_Data_An_Cour!$W:$W,$C99,BV_Data_An_Cour!$X:$X,J$2)</f>
        <v>0</v>
      </c>
      <c r="K99" s="173">
        <f t="shared" ref="K99" si="58">IF(J99=0,0,L99/J99)</f>
        <v>0</v>
      </c>
      <c r="L99" s="174">
        <f>-SUMIFS(BV_Data_An_Cour!$P:$P,BV_Data_An_Cour!$V:$V,$B99,BV_Data_An_Cour!$W:$W,$C99,BV_Data_An_Cour!$X:$X,L$2)</f>
        <v>0</v>
      </c>
      <c r="M99" s="176">
        <f t="shared" ref="M99" si="59">J99-G99</f>
        <v>-35.737048838876952</v>
      </c>
      <c r="N99" s="174">
        <f t="shared" ref="N99" si="60">L99-I99</f>
        <v>-7576.2543538419141</v>
      </c>
      <c r="O99" s="176">
        <f>-SUMIFS(BV_Data_An_Prec!$O:$O,BV_Data_An_Prec!$U:$U,$B99,BV_Data_An_Prec!$V:$V,$C99,BV_Data_An_Prec!$W:$W,O$2)</f>
        <v>33</v>
      </c>
      <c r="P99" s="173">
        <f t="shared" ref="P99" si="61">IF(O99=0,0,Q99/O99)</f>
        <v>458.33090909090862</v>
      </c>
      <c r="Q99" s="174">
        <f>-SUMIFS(BV_Data_An_Prec!$O:$O,BV_Data_An_Prec!$U:$U,$B99,BV_Data_An_Prec!$V:$V,$C99,BV_Data_An_Prec!$W:$W,Q$2)</f>
        <v>15124.919999999984</v>
      </c>
      <c r="R99" s="176">
        <f t="shared" ref="R99" si="62">J99-O99</f>
        <v>-33</v>
      </c>
      <c r="S99" s="393">
        <f t="shared" ref="S99" si="63">L99-Q99</f>
        <v>-15124.919999999984</v>
      </c>
      <c r="T99" s="216"/>
      <c r="U99" s="25"/>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3064</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27062.181146898889</v>
      </c>
      <c r="G101" s="176">
        <f>+INDEX('Budget révisé'!$A$2:$AO$500,MATCH($A101,'Budget révisé'!$A$2:$A$500,0),MATCH(G$2,'Budget révisé'!$A$2:$AO$2,0))</f>
        <v>0</v>
      </c>
      <c r="H101" s="173">
        <f t="shared" si="57"/>
        <v>0</v>
      </c>
      <c r="I101" s="173">
        <f>+INDEX('Budget révisé'!$A$2:$AO$500,MATCH($A101,'Budget révisé'!$A$2:$A$500,0),MATCH(I$2,'Budget révisé'!$A$2:$AO$2,0))</f>
        <v>27062.181146898889</v>
      </c>
      <c r="J101" s="176"/>
      <c r="K101" s="173">
        <f>IF(J96=0,0,L101/J96)</f>
        <v>0</v>
      </c>
      <c r="L101" s="174">
        <f>-SUMIFS(BV_Data_An_Cour!$P:$P,BV_Data_An_Cour!$V:$V,$B101,BV_Data_An_Cour!$W:$W,$C101,BV_Data_An_Cour!$X:$X,$L2)</f>
        <v>0</v>
      </c>
      <c r="M101" s="176"/>
      <c r="N101" s="174">
        <f t="shared" ref="N101:N104" si="64">L101-I101</f>
        <v>-27062.181146898889</v>
      </c>
      <c r="O101" s="176"/>
      <c r="P101" s="173">
        <f>IF(O96=0,0,Q101/O96)</f>
        <v>808.79617647058819</v>
      </c>
      <c r="Q101" s="174">
        <f>-SUMIFS(BV_Data_An_Prec!$O:$O,BV_Data_An_Prec!$U:$U,$B101,BV_Data_An_Prec!$V:$V,$C101,BV_Data_An_Prec!$W:$W,$L2)</f>
        <v>27499.07</v>
      </c>
      <c r="R101" s="176">
        <f t="shared" ref="R101:R103" si="65">O101-K101</f>
        <v>0</v>
      </c>
      <c r="S101" s="393">
        <f t="shared" ref="S101:S104" si="66">L101-Q101</f>
        <v>-27499.07</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3065</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47714.592195007121</v>
      </c>
      <c r="G102" s="176">
        <f>+INDEX('Budget révisé'!$A$2:$AO$500,MATCH($A102,'Budget révisé'!$A$2:$A$500,0),MATCH(G$2,'Budget révisé'!$A$2:$AO$2,0))</f>
        <v>0</v>
      </c>
      <c r="H102" s="173">
        <f t="shared" si="57"/>
        <v>0</v>
      </c>
      <c r="I102" s="173">
        <f>+INDEX('Budget révisé'!$A$2:$AO$500,MATCH($A102,'Budget révisé'!$A$2:$A$500,0),MATCH(I$2,'Budget révisé'!$A$2:$AO$2,0))</f>
        <v>47714.592195007121</v>
      </c>
      <c r="J102" s="176"/>
      <c r="K102" s="173">
        <f>IF(J96=0,0,L102/J96)</f>
        <v>0</v>
      </c>
      <c r="L102" s="174">
        <f>-SUMIFS(BV_Data_An_Cour!$P:$P,BV_Data_An_Cour!$V:$V,$B102,BV_Data_An_Cour!$W:$W,$C102,BV_Data_An_Cour!$X:$X,$L2)</f>
        <v>0</v>
      </c>
      <c r="M102" s="176"/>
      <c r="N102" s="174">
        <f t="shared" si="64"/>
        <v>-47714.592195007121</v>
      </c>
      <c r="O102" s="176"/>
      <c r="P102" s="173">
        <f>IF(O96=0,0,Q102/O96)</f>
        <v>1526.3802941176471</v>
      </c>
      <c r="Q102" s="174">
        <f>-SUMIFS(BV_Data_An_Prec!$O:$O,BV_Data_An_Prec!$U:$U,$B102,BV_Data_An_Prec!$V:$V,$C102,BV_Data_An_Prec!$W:$W,$L2)</f>
        <v>51896.93</v>
      </c>
      <c r="R102" s="176">
        <f t="shared" si="65"/>
        <v>0</v>
      </c>
      <c r="S102" s="393">
        <f t="shared" si="66"/>
        <v>-51896.93</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3066</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1353.3210478109543</v>
      </c>
      <c r="G103" s="176">
        <f>+INDEX('Budget révisé'!$A$2:$AO$500,MATCH($A103,'Budget révisé'!$A$2:$A$500,0),MATCH(G$2,'Budget révisé'!$A$2:$AO$2,0))</f>
        <v>0</v>
      </c>
      <c r="H103" s="401">
        <f t="shared" si="57"/>
        <v>0</v>
      </c>
      <c r="I103" s="173">
        <f>+INDEX('Budget révisé'!$A$2:$AO$500,MATCH($A103,'Budget révisé'!$A$2:$A$500,0),MATCH(I$2,'Budget révisé'!$A$2:$AO$2,0))</f>
        <v>1353.3210478109543</v>
      </c>
      <c r="J103" s="176"/>
      <c r="K103" s="401">
        <f>IF(J96=0,0,L103/J96)</f>
        <v>0</v>
      </c>
      <c r="L103" s="174">
        <f>-SUMIFS(BV_Data_An_Cour!$P:$P,BV_Data_An_Cour!$V:$V,$B103,BV_Data_An_Cour!$W:$W,$C103,BV_Data_An_Cour!$X:$X,$L$2)</f>
        <v>0</v>
      </c>
      <c r="M103" s="400"/>
      <c r="N103" s="174">
        <f t="shared" si="64"/>
        <v>-1353.3210478109543</v>
      </c>
      <c r="O103" s="176"/>
      <c r="P103" s="401">
        <f>IF(O96=0,0,Q103/O96)</f>
        <v>53.567647058823525</v>
      </c>
      <c r="Q103" s="174">
        <f>-SUMIFS(BV_Data_An_Prec!$O:$O,BV_Data_An_Prec!$U:$U,$B103,BV_Data_An_Prec!$V:$V,$C103,BV_Data_An_Prec!$W:$W,$L$2)</f>
        <v>1821.3</v>
      </c>
      <c r="R103" s="176">
        <f t="shared" si="65"/>
        <v>0</v>
      </c>
      <c r="S103" s="393">
        <f t="shared" si="66"/>
        <v>-1821.3</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3067</v>
      </c>
      <c r="B104" s="24" t="s">
        <v>144</v>
      </c>
      <c r="C104" s="394" t="s">
        <v>100</v>
      </c>
      <c r="D104" s="395">
        <f>D96</f>
        <v>41.067961165048544</v>
      </c>
      <c r="E104" s="173">
        <f t="shared" si="50"/>
        <v>1853.758799560484</v>
      </c>
      <c r="F104" s="396">
        <f>F101+F102+F103</f>
        <v>76130.094389716964</v>
      </c>
      <c r="G104" s="397">
        <f>G96</f>
        <v>41.067961165048544</v>
      </c>
      <c r="H104" s="395">
        <f t="shared" si="57"/>
        <v>1853.758799560484</v>
      </c>
      <c r="I104" s="396">
        <f>I101+I102+I103</f>
        <v>76130.094389716964</v>
      </c>
      <c r="J104" s="397">
        <f>J96</f>
        <v>0</v>
      </c>
      <c r="K104" s="395">
        <f>IF(J104&lt;=0,0,L104/J104)</f>
        <v>0</v>
      </c>
      <c r="L104" s="396">
        <f>L101+L102+L103</f>
        <v>0</v>
      </c>
      <c r="M104" s="176">
        <f>J104-G104</f>
        <v>-41.067961165048544</v>
      </c>
      <c r="N104" s="396">
        <f t="shared" si="64"/>
        <v>-76130.094389716964</v>
      </c>
      <c r="O104" s="397">
        <f>O96</f>
        <v>34</v>
      </c>
      <c r="P104" s="395">
        <f>IF(O104&lt;=0,0,Q104/O104)</f>
        <v>2388.7441176470588</v>
      </c>
      <c r="Q104" s="396">
        <f>Q101+Q102+Q103</f>
        <v>81217.3</v>
      </c>
      <c r="R104" s="405"/>
      <c r="S104" s="398">
        <f t="shared" si="66"/>
        <v>-81217.3</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3068</v>
      </c>
      <c r="B107" s="24" t="s">
        <v>144</v>
      </c>
      <c r="C107" s="263" t="s">
        <v>151</v>
      </c>
      <c r="D107" s="26">
        <f>D96+D99</f>
        <v>76.805010003925503</v>
      </c>
      <c r="E107" s="30">
        <f>IF(D107&lt;=0,0,F107/D107)</f>
        <v>1773.5940903255234</v>
      </c>
      <c r="F107" s="28">
        <f>F96+F104+F99</f>
        <v>136220.91185035498</v>
      </c>
      <c r="G107" s="29">
        <f>G96+G99</f>
        <v>76.805010003925503</v>
      </c>
      <c r="H107" s="30">
        <f>IF(G107&lt;=0,0,I107/G107)</f>
        <v>1773.5940903255234</v>
      </c>
      <c r="I107" s="28">
        <f>I96+I104+I99</f>
        <v>136220.91185035498</v>
      </c>
      <c r="J107" s="29">
        <f>J96+J99</f>
        <v>0</v>
      </c>
      <c r="K107" s="30">
        <f>IF(J107&lt;=0,0,L107/J107)</f>
        <v>0</v>
      </c>
      <c r="L107" s="28">
        <f>L96+L104+L99</f>
        <v>0</v>
      </c>
      <c r="M107" s="29">
        <f>J107-G107</f>
        <v>-76.805010003925503</v>
      </c>
      <c r="N107" s="28">
        <f>L107-I107</f>
        <v>-136220.91185035498</v>
      </c>
      <c r="O107" s="29">
        <f>O96+O99</f>
        <v>67</v>
      </c>
      <c r="P107" s="30">
        <f>IF(O107&lt;=0,0,Q107/O107)</f>
        <v>2095.458656716417</v>
      </c>
      <c r="Q107" s="28">
        <f>Q96+Q104+Q99</f>
        <v>140395.72999999992</v>
      </c>
      <c r="R107" s="29">
        <f>J107-O107</f>
        <v>-67</v>
      </c>
      <c r="S107" s="357">
        <f>L107-Q107</f>
        <v>-140395.72999999992</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3069</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3070</v>
      </c>
      <c r="B111" s="24" t="s">
        <v>144</v>
      </c>
      <c r="C111" s="258" t="s">
        <v>103</v>
      </c>
      <c r="D111" s="295"/>
      <c r="E111" s="191">
        <f t="shared" ref="E111:E116" si="67">F111/D$96</f>
        <v>503.31028368794324</v>
      </c>
      <c r="F111" s="173">
        <f>+INDEX('Budget original'!$A$2:$AO$500,MATCH($A111,'Budget original'!$A$2:$A$500,0),MATCH(F$2,'Budget original'!$A$2:$AO$2,0))</f>
        <v>20669.927184466018</v>
      </c>
      <c r="G111" s="952">
        <f>I111/I96</f>
        <v>0.39360371602884081</v>
      </c>
      <c r="H111" s="191">
        <f t="shared" ref="H111:H116" si="68">I111/G$96</f>
        <v>503.31028368794324</v>
      </c>
      <c r="I111" s="173">
        <f>+INDEX('Budget révisé'!$A$2:$AO$500,MATCH($A111,'Budget révisé'!$A$2:$A$500,0),MATCH(I$2,'Budget révisé'!$A$2:$AO$2,0))</f>
        <v>20669.927184466018</v>
      </c>
      <c r="J111" s="952" t="e">
        <f>L111/L96</f>
        <v>#DIV/0!</v>
      </c>
      <c r="K111" s="191">
        <f t="shared" ref="K111:K116" si="69">IF($J$96=0,0,L111/(J$94+J$95))</f>
        <v>0</v>
      </c>
      <c r="L111" s="174">
        <f>SUMIFS(BV_Data_An_Cour!$P:$P,BV_Data_An_Cour!$V:$V,$B111,BV_Data_An_Cour!$W:$W,$C111,BV_Data_An_Cour!$X:$X,$L$2)</f>
        <v>0</v>
      </c>
      <c r="M111" s="297"/>
      <c r="N111" s="298">
        <f t="shared" ref="N111:N121" si="70">L111-I111</f>
        <v>-20669.927184466018</v>
      </c>
      <c r="O111" s="297"/>
      <c r="P111" s="191">
        <f t="shared" ref="P111:P116" si="71">IF($J$96=0,0,Q111/(O$94+O$95))</f>
        <v>0</v>
      </c>
      <c r="Q111" s="174">
        <f>SUMIFS(BV_Data_An_Prec!$O:$O,BV_Data_An_Prec!$U:$U,$B111,BV_Data_An_Prec!$V:$V,$C111,BV_Data_An_Prec!$W:$W,$L$2)</f>
        <v>17065.98</v>
      </c>
      <c r="R111" s="297"/>
      <c r="S111" s="193">
        <f t="shared" ref="S111:S121" si="72">L111-Q111</f>
        <v>-17065.98</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3071</v>
      </c>
      <c r="B112" s="24" t="s">
        <v>144</v>
      </c>
      <c r="C112" s="320" t="s">
        <v>104</v>
      </c>
      <c r="D112" s="301"/>
      <c r="E112" s="407">
        <f t="shared" si="67"/>
        <v>556.12763986814525</v>
      </c>
      <c r="F112" s="171">
        <f>+INDEX('Budget original'!$A$2:$AO$500,MATCH($A112,'Budget original'!$A$2:$A$500,0),MATCH(F$2,'Budget original'!$A$2:$AO$2,0))</f>
        <v>22839.02831691509</v>
      </c>
      <c r="G112" s="953">
        <f>I112/I104</f>
        <v>0.3</v>
      </c>
      <c r="H112" s="407">
        <f t="shared" si="68"/>
        <v>556.12763986814525</v>
      </c>
      <c r="I112" s="171">
        <f>+INDEX('Budget révisé'!$A$2:$AO$500,MATCH($A112,'Budget révisé'!$A$2:$A$500,0),MATCH(I$2,'Budget révisé'!$A$2:$AO$2,0))</f>
        <v>22839.02831691509</v>
      </c>
      <c r="J112" s="953" t="e">
        <f>L112/L104</f>
        <v>#DIV/0!</v>
      </c>
      <c r="K112" s="407">
        <f t="shared" si="69"/>
        <v>0</v>
      </c>
      <c r="L112" s="275">
        <f>SUMIFS(BV_Data_An_Cour!$P:$P,BV_Data_An_Cour!$V:$V,$B112,BV_Data_An_Cour!$W:$W,$C112,BV_Data_An_Cour!$X:$X,$L$2)</f>
        <v>0</v>
      </c>
      <c r="M112" s="304"/>
      <c r="N112" s="305">
        <f t="shared" si="70"/>
        <v>-22839.02831691509</v>
      </c>
      <c r="O112" s="304"/>
      <c r="P112" s="407">
        <f t="shared" si="71"/>
        <v>0</v>
      </c>
      <c r="Q112" s="174">
        <f>SUMIFS(BV_Data_An_Prec!$O:$O,BV_Data_An_Prec!$U:$U,$B112,BV_Data_An_Prec!$V:$V,$C112,BV_Data_An_Prec!$W:$W,$L$2)</f>
        <v>24365.25</v>
      </c>
      <c r="R112" s="304"/>
      <c r="S112" s="196">
        <f t="shared" si="72"/>
        <v>-24365.25</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3072</v>
      </c>
      <c r="B113" s="24" t="s">
        <v>144</v>
      </c>
      <c r="C113" s="258" t="s">
        <v>105</v>
      </c>
      <c r="D113" s="295"/>
      <c r="E113" s="191">
        <f t="shared" si="67"/>
        <v>69.809353301886787</v>
      </c>
      <c r="F113" s="173">
        <f>+INDEX('Budget original'!$A$2:$AO$500,MATCH($A113,'Budget original'!$A$2:$A$500,0),MATCH(F$2,'Budget original'!$A$2:$AO$2,0))</f>
        <v>2866.92781035904</v>
      </c>
      <c r="G113" s="296"/>
      <c r="H113" s="191">
        <f t="shared" si="68"/>
        <v>69.809353301886787</v>
      </c>
      <c r="I113" s="173">
        <f>+INDEX('Budget révisé'!$A$2:$AO$500,MATCH($A113,'Budget révisé'!$A$2:$A$500,0),MATCH(I$2,'Budget révisé'!$A$2:$AO$2,0))</f>
        <v>2866.92781035904</v>
      </c>
      <c r="J113" s="297"/>
      <c r="K113" s="222">
        <f t="shared" si="69"/>
        <v>0</v>
      </c>
      <c r="L113" s="239">
        <f>SUMIFS(BV_Data_An_Cour!$P:$P,BV_Data_An_Cour!$V:$V,$B113,BV_Data_An_Cour!$W:$W,$C113,BV_Data_An_Cour!$X:$X,$L$2)</f>
        <v>0</v>
      </c>
      <c r="M113" s="297"/>
      <c r="N113" s="298">
        <f t="shared" si="70"/>
        <v>-2866.92781035904</v>
      </c>
      <c r="O113" s="297"/>
      <c r="P113" s="191">
        <f t="shared" si="71"/>
        <v>0</v>
      </c>
      <c r="Q113" s="175">
        <f>SUMIFS(BV_Data_An_Prec!$O:$O,BV_Data_An_Prec!$U:$U,$B113,BV_Data_An_Prec!$V:$V,$C113,BV_Data_An_Prec!$W:$W,$L$2)</f>
        <v>3192.56</v>
      </c>
      <c r="R113" s="297"/>
      <c r="S113" s="193">
        <f t="shared" si="72"/>
        <v>-3192.56</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3073</v>
      </c>
      <c r="B114" s="24" t="s">
        <v>144</v>
      </c>
      <c r="C114" s="258" t="s">
        <v>106</v>
      </c>
      <c r="D114" s="295"/>
      <c r="E114" s="191">
        <f t="shared" si="67"/>
        <v>33.51101497641509</v>
      </c>
      <c r="F114" s="173">
        <f>+INDEX('Budget original'!$A$2:$AO$500,MATCH($A114,'Budget original'!$A$2:$A$500,0),MATCH(F$2,'Budget original'!$A$2:$AO$2,0))</f>
        <v>1376.229061652775</v>
      </c>
      <c r="G114" s="296"/>
      <c r="H114" s="191">
        <f t="shared" si="68"/>
        <v>33.51101497641509</v>
      </c>
      <c r="I114" s="173">
        <f>+INDEX('Budget révisé'!$A$2:$AO$500,MATCH($A114,'Budget révisé'!$A$2:$A$500,0),MATCH(I$2,'Budget révisé'!$A$2:$AO$2,0))</f>
        <v>1376.229061652775</v>
      </c>
      <c r="J114" s="297"/>
      <c r="K114" s="222">
        <f t="shared" si="69"/>
        <v>0</v>
      </c>
      <c r="L114" s="275">
        <f>SUMIFS(BV_Data_An_Cour!$P:$P,BV_Data_An_Cour!$V:$V,$B114,BV_Data_An_Cour!$W:$W,$C114,BV_Data_An_Cour!$X:$X,$L$2)</f>
        <v>0</v>
      </c>
      <c r="M114" s="297"/>
      <c r="N114" s="298">
        <f t="shared" si="70"/>
        <v>-1376.229061652775</v>
      </c>
      <c r="O114" s="297"/>
      <c r="P114" s="191">
        <f t="shared" si="71"/>
        <v>0</v>
      </c>
      <c r="Q114" s="174">
        <f>SUMIFS(BV_Data_An_Prec!$O:$O,BV_Data_An_Prec!$U:$U,$B114,BV_Data_An_Prec!$V:$V,$C114,BV_Data_An_Prec!$W:$W,$L$2)</f>
        <v>4069.76</v>
      </c>
      <c r="R114" s="297"/>
      <c r="S114" s="193">
        <f t="shared" si="72"/>
        <v>-4069.76</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3074</v>
      </c>
      <c r="B115" s="24" t="s">
        <v>144</v>
      </c>
      <c r="C115" s="320" t="s">
        <v>107</v>
      </c>
      <c r="D115" s="301"/>
      <c r="E115" s="407">
        <f t="shared" si="67"/>
        <v>88.549952830188673</v>
      </c>
      <c r="F115" s="171">
        <f>+INDEX('Budget original'!$A$2:$AO$500,MATCH($A115,'Budget original'!$A$2:$A$500,0),MATCH(F$2,'Budget original'!$A$2:$AO$2,0))</f>
        <v>3636.5660239970689</v>
      </c>
      <c r="G115" s="303"/>
      <c r="H115" s="407">
        <f t="shared" si="68"/>
        <v>88.549952830188673</v>
      </c>
      <c r="I115" s="171">
        <f>+INDEX('Budget révisé'!$A$2:$AO$500,MATCH($A115,'Budget révisé'!$A$2:$A$500,0),MATCH(I$2,'Budget révisé'!$A$2:$AO$2,0))</f>
        <v>3636.5660239970689</v>
      </c>
      <c r="J115" s="304"/>
      <c r="K115" s="1120">
        <f t="shared" si="69"/>
        <v>0</v>
      </c>
      <c r="L115" s="1122">
        <f>SUMIFS(BV_Data_An_Cour!$P:$P,BV_Data_An_Cour!$V:$V,$B115,BV_Data_An_Cour!$W:$W,$C115,BV_Data_An_Cour!$X:$X,$L$2)</f>
        <v>0</v>
      </c>
      <c r="M115" s="304"/>
      <c r="N115" s="305">
        <f t="shared" si="70"/>
        <v>-3636.5660239970689</v>
      </c>
      <c r="O115" s="304"/>
      <c r="P115" s="407">
        <f t="shared" si="71"/>
        <v>0</v>
      </c>
      <c r="Q115" s="399">
        <f>SUMIFS(BV_Data_An_Prec!$O:$O,BV_Data_An_Prec!$U:$U,$B115,BV_Data_An_Prec!$V:$V,$C115,BV_Data_An_Prec!$W:$W,$L$2)</f>
        <v>3740.95</v>
      </c>
      <c r="R115" s="304"/>
      <c r="S115" s="196">
        <f t="shared" si="72"/>
        <v>-3740.95</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3075</v>
      </c>
      <c r="B116" s="24" t="s">
        <v>144</v>
      </c>
      <c r="C116" s="258" t="s">
        <v>108</v>
      </c>
      <c r="D116" s="295"/>
      <c r="E116" s="191">
        <f t="shared" si="67"/>
        <v>42.755319148936181</v>
      </c>
      <c r="F116" s="173">
        <f>+INDEX('Budget original'!$A$2:$AO$500,MATCH($A116,'Budget original'!$A$2:$A$500,0),MATCH(F$2,'Budget original'!$A$2:$AO$2,0))</f>
        <v>1755.8737864077675</v>
      </c>
      <c r="G116" s="296"/>
      <c r="H116" s="191">
        <f t="shared" si="68"/>
        <v>42.755319148936181</v>
      </c>
      <c r="I116" s="173">
        <f>+INDEX('Budget révisé'!$A$2:$AO$500,MATCH($A116,'Budget révisé'!$A$2:$A$500,0),MATCH(I$2,'Budget révisé'!$A$2:$AO$2,0))</f>
        <v>1755.8737864077675</v>
      </c>
      <c r="J116" s="297"/>
      <c r="K116" s="222">
        <f t="shared" si="69"/>
        <v>0</v>
      </c>
      <c r="L116" s="275">
        <f>SUMIFS(BV_Data_An_Cour!$P:$P,BV_Data_An_Cour!$V:$V,$B116,BV_Data_An_Cour!$W:$W,$C116,BV_Data_An_Cour!$X:$X,$L$2)</f>
        <v>0</v>
      </c>
      <c r="M116" s="297"/>
      <c r="N116" s="298">
        <f t="shared" si="70"/>
        <v>-1755.8737864077675</v>
      </c>
      <c r="O116" s="297"/>
      <c r="P116" s="191">
        <f t="shared" si="71"/>
        <v>0</v>
      </c>
      <c r="Q116" s="174">
        <f>SUMIFS(BV_Data_An_Prec!$O:$O,BV_Data_An_Prec!$U:$U,$B116,BV_Data_An_Prec!$V:$V,$C116,BV_Data_An_Prec!$W:$W,$L$2)</f>
        <v>2521.41</v>
      </c>
      <c r="R116" s="297"/>
      <c r="S116" s="193">
        <f t="shared" si="72"/>
        <v>-2521.41</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3076</v>
      </c>
      <c r="B117" s="24" t="s">
        <v>144</v>
      </c>
      <c r="C117" s="258" t="s">
        <v>109</v>
      </c>
      <c r="D117" s="295"/>
      <c r="E117" s="191">
        <f t="shared" ref="E117:E119" si="73">F117/D$96</f>
        <v>19.599926202597231</v>
      </c>
      <c r="F117" s="173">
        <f>+INDEX('Budget original'!$A$2:$AO$500,MATCH($A117,'Budget original'!$A$2:$A$500,0),MATCH(F$2,'Budget original'!$A$2:$AO$2,0))</f>
        <v>804.92900812608048</v>
      </c>
      <c r="G117" s="296"/>
      <c r="H117" s="191">
        <f t="shared" ref="H117:H119" si="74">I117/G$96</f>
        <v>19.599926202597231</v>
      </c>
      <c r="I117" s="173">
        <f>+INDEX('Budget révisé'!$A$2:$AO$500,MATCH($A117,'Budget révisé'!$A$2:$A$500,0),MATCH(I$2,'Budget révisé'!$A$2:$AO$2,0))</f>
        <v>804.92900812608048</v>
      </c>
      <c r="J117" s="297"/>
      <c r="K117" s="191">
        <f t="shared" ref="K117:K119" si="75">IF($J$96=0,0,L117/(J$94+J$95))</f>
        <v>0</v>
      </c>
      <c r="L117" s="174">
        <f>SUMIFS(BV_Data_An_Cour!$P:$P,BV_Data_An_Cour!$V:$V,$B117,BV_Data_An_Cour!$W:$W,$C117,BV_Data_An_Cour!$X:$X,$L$2)</f>
        <v>0</v>
      </c>
      <c r="M117" s="297"/>
      <c r="N117" s="298">
        <f t="shared" ref="N117:N119" si="76">L117-I117</f>
        <v>-804.92900812608048</v>
      </c>
      <c r="O117" s="297"/>
      <c r="P117" s="191">
        <f t="shared" ref="P117:P119" si="77">IF($J$96=0,0,Q117/(O$94+O$95))</f>
        <v>0</v>
      </c>
      <c r="Q117" s="174">
        <f>SUMIFS(BV_Data_An_Prec!$O:$O,BV_Data_An_Prec!$U:$U,$B117,BV_Data_An_Prec!$V:$V,$C117,BV_Data_An_Prec!$W:$W,$L$2)</f>
        <v>555.39</v>
      </c>
      <c r="R117" s="297"/>
      <c r="S117" s="193">
        <f t="shared" ref="S117:S119" si="78">L117-Q117</f>
        <v>-555.39</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3077</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3077</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3077</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3078</v>
      </c>
      <c r="B121" s="24" t="s">
        <v>144</v>
      </c>
      <c r="C121" s="292" t="s">
        <v>110</v>
      </c>
      <c r="D121" s="39" t="s">
        <v>111</v>
      </c>
      <c r="E121" s="40">
        <f>F121/F$107</f>
        <v>0.39604404682880007</v>
      </c>
      <c r="F121" s="41">
        <f>SUM(F111:F120)</f>
        <v>53949.481191923835</v>
      </c>
      <c r="G121" s="42" t="s">
        <v>111</v>
      </c>
      <c r="H121" s="40">
        <f>I121/I$107</f>
        <v>0.39604404682880007</v>
      </c>
      <c r="I121" s="41">
        <f>SUM(I111:I120)</f>
        <v>53949.481191923835</v>
      </c>
      <c r="J121" s="42" t="s">
        <v>111</v>
      </c>
      <c r="K121" s="40" t="e">
        <f>L121/L$107</f>
        <v>#DIV/0!</v>
      </c>
      <c r="L121" s="41">
        <f>SUM(L111:L120)</f>
        <v>0</v>
      </c>
      <c r="M121" s="44"/>
      <c r="N121" s="41">
        <f t="shared" si="70"/>
        <v>-53949.481191923835</v>
      </c>
      <c r="O121" s="42" t="s">
        <v>111</v>
      </c>
      <c r="P121" s="40">
        <f>Q121/Q$107</f>
        <v>0.39539165471770416</v>
      </c>
      <c r="Q121" s="41">
        <f>SUM(Q111:Q120)</f>
        <v>55511.299999999988</v>
      </c>
      <c r="R121" s="44"/>
      <c r="S121" s="310">
        <f t="shared" si="72"/>
        <v>-55511.299999999988</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3079</v>
      </c>
      <c r="B122" s="24" t="s">
        <v>144</v>
      </c>
      <c r="C122" s="299" t="s">
        <v>112</v>
      </c>
      <c r="D122" s="172"/>
      <c r="E122" s="172"/>
      <c r="F122" s="173">
        <f>+INDEX('Budget original'!$A$2:$AO$500,MATCH($A122,'Budget original'!$A$2:$A$500,0),MATCH(F$2,'Budget original'!$A$2:$AO$2,0))</f>
        <v>7896.8540229885057</v>
      </c>
      <c r="G122" s="297"/>
      <c r="H122" s="172"/>
      <c r="I122" s="173">
        <f>+INDEX('Budget révisé'!$A$2:$AO$500,MATCH($A122,'Budget révisé'!$A$2:$A$500,0),MATCH(I$2,'Budget révisé'!$A$2:$AO$2,0))</f>
        <v>7896.8540229885057</v>
      </c>
      <c r="J122" s="297"/>
      <c r="K122" s="172"/>
      <c r="L122" s="275">
        <f>SUMIFS(BV_Data_An_Cour!$P:$P,BV_Data_An_Cour!$V:$V,$B122,BV_Data_An_Cour!$W:$W,$C122,BV_Data_An_Cour!$X:$X,$L$2)</f>
        <v>0</v>
      </c>
      <c r="M122" s="297"/>
      <c r="N122" s="298">
        <f t="shared" ref="N122:N133" si="79">L122-I122</f>
        <v>-7896.8540229885057</v>
      </c>
      <c r="O122" s="297"/>
      <c r="P122" s="172"/>
      <c r="Q122" s="174">
        <f>SUMIFS(BV_Data_An_Prec!$O:$O,BV_Data_An_Prec!$U:$U,$B122,BV_Data_An_Prec!$V:$V,$C122,BV_Data_An_Prec!$W:$W,$L$2)</f>
        <v>8452.9699999999993</v>
      </c>
      <c r="R122" s="297"/>
      <c r="S122" s="193">
        <f t="shared" ref="S122:S133" si="80">L122-Q122</f>
        <v>-8452.9699999999993</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3080</v>
      </c>
      <c r="B123" s="24" t="s">
        <v>144</v>
      </c>
      <c r="C123" s="300" t="s">
        <v>113</v>
      </c>
      <c r="D123" s="295"/>
      <c r="E123" s="172"/>
      <c r="F123" s="171">
        <f>+INDEX('Budget original'!$A$2:$AO$500,MATCH($A123,'Budget original'!$A$2:$A$500,0),MATCH(F$2,'Budget original'!$A$2:$AO$2,0))</f>
        <v>2085.8013466436782</v>
      </c>
      <c r="G123" s="296"/>
      <c r="H123" s="172"/>
      <c r="I123" s="171">
        <f>+INDEX('Budget révisé'!$A$2:$AO$500,MATCH($A123,'Budget révisé'!$A$2:$A$500,0),MATCH(I$2,'Budget révisé'!$A$2:$AO$2,0))</f>
        <v>2085.8013466436782</v>
      </c>
      <c r="J123" s="297"/>
      <c r="K123" s="172"/>
      <c r="L123" s="171">
        <f>SUMIFS(BV_Data_An_Cour!$P:$P,BV_Data_An_Cour!$V:$V,$B123,BV_Data_An_Cour!$W:$W,$C123,BV_Data_An_Cour!$X:$X,$L$2)</f>
        <v>0</v>
      </c>
      <c r="M123" s="297"/>
      <c r="N123" s="298">
        <f t="shared" si="79"/>
        <v>-2085.8013466436782</v>
      </c>
      <c r="O123" s="297"/>
      <c r="P123" s="172"/>
      <c r="Q123" s="171">
        <f>SUMIFS(BV_Data_An_Prec!$O:$O,BV_Data_An_Prec!$U:$U,$B123,BV_Data_An_Prec!$V:$V,$C123,BV_Data_An_Prec!$W:$W,$L$2)</f>
        <v>2042.07</v>
      </c>
      <c r="R123" s="297"/>
      <c r="S123" s="193">
        <f t="shared" si="80"/>
        <v>-2042.07</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3081</v>
      </c>
      <c r="B124" s="24" t="s">
        <v>144</v>
      </c>
      <c r="C124" s="299" t="s">
        <v>114</v>
      </c>
      <c r="D124" s="386"/>
      <c r="E124" s="346"/>
      <c r="F124" s="173">
        <f>+INDEX('Budget original'!$A$2:$AO$500,MATCH($A124,'Budget original'!$A$2:$A$500,0),MATCH(F$2,'Budget original'!$A$2:$AO$2,0))</f>
        <v>7817.5317199080455</v>
      </c>
      <c r="G124" s="387"/>
      <c r="H124" s="346"/>
      <c r="I124" s="173">
        <f>+INDEX('Budget révisé'!$A$2:$AO$500,MATCH($A124,'Budget révisé'!$A$2:$A$500,0),MATCH(I$2,'Budget révisé'!$A$2:$AO$2,0))</f>
        <v>7817.5317199080455</v>
      </c>
      <c r="J124" s="362"/>
      <c r="K124" s="346"/>
      <c r="L124" s="275">
        <f>SUMIFS(BV_Data_An_Cour!$P:$P,BV_Data_An_Cour!$V:$V,$B124,BV_Data_An_Cour!$W:$W,$C124,BV_Data_An_Cour!$X:$X,$L$2)</f>
        <v>0</v>
      </c>
      <c r="M124" s="362"/>
      <c r="N124" s="350">
        <f t="shared" si="79"/>
        <v>-7817.5317199080455</v>
      </c>
      <c r="O124" s="362"/>
      <c r="P124" s="346"/>
      <c r="Q124" s="174">
        <f>SUMIFS(BV_Data_An_Prec!$O:$O,BV_Data_An_Prec!$U:$U,$B124,BV_Data_An_Prec!$V:$V,$C124,BV_Data_An_Prec!$W:$W,$L$2)</f>
        <v>8432.2199999999993</v>
      </c>
      <c r="R124" s="362"/>
      <c r="S124" s="195">
        <f t="shared" si="80"/>
        <v>-8432.2199999999993</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3082</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3077</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3077</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3077</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3083</v>
      </c>
      <c r="B129" s="24" t="s">
        <v>144</v>
      </c>
      <c r="C129" s="300" t="s">
        <v>116</v>
      </c>
      <c r="D129" s="295"/>
      <c r="E129" s="172"/>
      <c r="F129" s="173">
        <f>+INDEX('Budget original'!$A$2:$AO$500,MATCH($A129,'Budget original'!$A$2:$A$500,0),MATCH(F$2,'Budget original'!$A$2:$AO$2,0))</f>
        <v>7153.8192497055024</v>
      </c>
      <c r="G129" s="296"/>
      <c r="H129" s="172"/>
      <c r="I129" s="173">
        <f>+INDEX('Budget révisé'!$A$2:$AO$500,MATCH($A129,'Budget révisé'!$A$2:$A$500,0),MATCH(I$2,'Budget révisé'!$A$2:$AO$2,0))</f>
        <v>7153.8192497055024</v>
      </c>
      <c r="J129" s="297"/>
      <c r="K129" s="172"/>
      <c r="L129" s="174">
        <f>SUMIFS(BV_Data_An_Cour!$P:$P,BV_Data_An_Cour!$V:$V,$B129,BV_Data_An_Cour!$W:$W,$C129,BV_Data_An_Cour!$X:$X,$L$2)</f>
        <v>0</v>
      </c>
      <c r="M129" s="297"/>
      <c r="N129" s="298">
        <f t="shared" si="81"/>
        <v>-7153.8192497055024</v>
      </c>
      <c r="O129" s="297"/>
      <c r="P129" s="172"/>
      <c r="Q129" s="174">
        <f>SUMIFS(BV_Data_An_Prec!$O:$O,BV_Data_An_Prec!$U:$U,$B129,BV_Data_An_Prec!$V:$V,$C129,BV_Data_An_Prec!$W:$W,$L$2)</f>
        <v>2470.8000000000002</v>
      </c>
      <c r="R129" s="297"/>
      <c r="S129" s="193">
        <f t="shared" si="82"/>
        <v>-2470.8000000000002</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3084</v>
      </c>
      <c r="B130" s="24" t="s">
        <v>144</v>
      </c>
      <c r="C130" s="274" t="s">
        <v>117</v>
      </c>
      <c r="D130" s="279"/>
      <c r="E130" s="280"/>
      <c r="F130" s="626">
        <f>+INDEX('Budget original'!$A$2:$AO$500,MATCH($A130,'Budget original'!$A$2:$A$500,0),MATCH(F$2,'Budget original'!$A$2:$AO$2,0))</f>
        <v>6406.9784455699755</v>
      </c>
      <c r="G130" s="281"/>
      <c r="H130" s="280"/>
      <c r="I130" s="626">
        <f>+INDEX('Budget révisé'!$A$2:$AO$500,MATCH($A130,'Budget révisé'!$A$2:$A$500,0),MATCH(I$2,'Budget révisé'!$A$2:$AO$2,0))</f>
        <v>6406.9784455699755</v>
      </c>
      <c r="J130" s="282"/>
      <c r="K130" s="280"/>
      <c r="L130" s="627">
        <f>SUMIFS(BV_Data_An_Cour!$P:$P,BV_Data_An_Cour!$V:$V,$B130,BV_Data_An_Cour!$W:$W,$C130,BV_Data_An_Cour!$X:$X,$L$2)</f>
        <v>0</v>
      </c>
      <c r="M130" s="282"/>
      <c r="N130" s="350">
        <f t="shared" si="79"/>
        <v>-6406.9784455699755</v>
      </c>
      <c r="O130" s="282"/>
      <c r="P130" s="280"/>
      <c r="Q130" s="627">
        <f>SUMIFS(BV_Data_An_Prec!$O:$O,BV_Data_An_Prec!$U:$U,$B130,BV_Data_An_Prec!$V:$V,$C130,BV_Data_An_Prec!$W:$W,$L$2)</f>
        <v>5710.42</v>
      </c>
      <c r="R130" s="282"/>
      <c r="S130" s="284">
        <f t="shared" si="80"/>
        <v>-5710.42</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3085</v>
      </c>
      <c r="B131" s="24" t="s">
        <v>144</v>
      </c>
      <c r="C131" s="274" t="s">
        <v>118</v>
      </c>
      <c r="D131" s="256"/>
      <c r="E131" s="227"/>
      <c r="F131" s="225">
        <f>+INDEX('Budget original'!$A$2:$AO$500,MATCH($A131,'Budget original'!$A$2:$A$500,0),MATCH(F$2,'Budget original'!$A$2:$AO$2,0))</f>
        <v>5087.8946479526285</v>
      </c>
      <c r="G131" s="277"/>
      <c r="H131" s="227"/>
      <c r="I131" s="225">
        <f>+INDEX('Budget révisé'!$A$2:$AO$500,MATCH($A131,'Budget révisé'!$A$2:$A$500,0),MATCH(I$2,'Budget révisé'!$A$2:$AO$2,0))</f>
        <v>5087.8946479526285</v>
      </c>
      <c r="J131" s="221"/>
      <c r="K131" s="227"/>
      <c r="L131" s="275">
        <f>SUMIFS(BV_Data_An_Cour!$P:$P,BV_Data_An_Cour!$V:$V,$B131,BV_Data_An_Cour!$W:$W,$C131,BV_Data_An_Cour!$X:$X,$L$2)</f>
        <v>0</v>
      </c>
      <c r="M131" s="221"/>
      <c r="N131" s="298">
        <f t="shared" si="79"/>
        <v>-5087.8946479526285</v>
      </c>
      <c r="O131" s="221"/>
      <c r="P131" s="227"/>
      <c r="Q131" s="275">
        <f>SUMIFS(BV_Data_An_Prec!$O:$O,BV_Data_An_Prec!$U:$U,$B131,BV_Data_An_Prec!$V:$V,$C131,BV_Data_An_Prec!$W:$W,$L$2)</f>
        <v>4092.47</v>
      </c>
      <c r="R131" s="221"/>
      <c r="S131" s="278">
        <f t="shared" si="80"/>
        <v>-4092.47</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3086</v>
      </c>
      <c r="B132" s="24" t="s">
        <v>144</v>
      </c>
      <c r="C132" s="274" t="s">
        <v>119</v>
      </c>
      <c r="D132" s="256"/>
      <c r="E132" s="227"/>
      <c r="F132" s="225">
        <f>+INDEX('Budget original'!$A$2:$AO$500,MATCH($A132,'Budget original'!$A$2:$A$500,0),MATCH(F$2,'Budget original'!$A$2:$AO$2,0))</f>
        <v>2072.8459676844041</v>
      </c>
      <c r="G132" s="277"/>
      <c r="H132" s="227"/>
      <c r="I132" s="225">
        <f>+INDEX('Budget révisé'!$A$2:$AO$500,MATCH($A132,'Budget révisé'!$A$2:$A$500,0),MATCH(I$2,'Budget révisé'!$A$2:$AO$2,0))</f>
        <v>2072.8459676844041</v>
      </c>
      <c r="J132" s="221"/>
      <c r="K132" s="227"/>
      <c r="L132" s="275">
        <f>SUMIFS(BV_Data_An_Cour!$P:$P,BV_Data_An_Cour!$V:$V,$B132,BV_Data_An_Cour!$W:$W,$C132,BV_Data_An_Cour!$X:$X,$L$2)</f>
        <v>0</v>
      </c>
      <c r="M132" s="221"/>
      <c r="N132" s="298">
        <f t="shared" si="79"/>
        <v>-2072.8459676844041</v>
      </c>
      <c r="O132" s="221"/>
      <c r="P132" s="227"/>
      <c r="Q132" s="275">
        <f>SUMIFS(BV_Data_An_Prec!$O:$O,BV_Data_An_Prec!$U:$U,$B132,BV_Data_An_Prec!$V:$V,$C132,BV_Data_An_Prec!$W:$W,$L$2)</f>
        <v>951.74</v>
      </c>
      <c r="R132" s="221"/>
      <c r="S132" s="278">
        <f t="shared" si="80"/>
        <v>-951.74</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3077</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3087</v>
      </c>
      <c r="B134" s="24" t="s">
        <v>144</v>
      </c>
      <c r="C134" s="292" t="s">
        <v>120</v>
      </c>
      <c r="D134" s="39" t="s">
        <v>111</v>
      </c>
      <c r="E134" s="40">
        <f>F134/F$107</f>
        <v>0.28278863264966725</v>
      </c>
      <c r="F134" s="41">
        <f>+SUM(F122:F133)</f>
        <v>38521.725400452742</v>
      </c>
      <c r="G134" s="42" t="s">
        <v>111</v>
      </c>
      <c r="H134" s="40">
        <f>I134/I$107</f>
        <v>0.28278863264966725</v>
      </c>
      <c r="I134" s="41">
        <f>+SUM(I122:I133)</f>
        <v>38521.725400452742</v>
      </c>
      <c r="J134" s="42" t="s">
        <v>111</v>
      </c>
      <c r="K134" s="40" t="e">
        <f>L134/L$107</f>
        <v>#DIV/0!</v>
      </c>
      <c r="L134" s="41">
        <f>SUM(L122:L133)</f>
        <v>0</v>
      </c>
      <c r="M134" s="43"/>
      <c r="N134" s="46">
        <f t="shared" ref="N134:N147" si="83">L134-I134</f>
        <v>-38521.725400452742</v>
      </c>
      <c r="O134" s="42" t="s">
        <v>111</v>
      </c>
      <c r="P134" s="40">
        <f>Q134/Q$107</f>
        <v>0.22901472858184516</v>
      </c>
      <c r="Q134" s="41">
        <f>SUM(Q122:Q133)</f>
        <v>32152.69</v>
      </c>
      <c r="R134" s="43"/>
      <c r="S134" s="293">
        <f t="shared" ref="S134:S147" si="84">L134-Q134</f>
        <v>-32152.69</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3088</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3089</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3090</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0</v>
      </c>
      <c r="M137" s="304"/>
      <c r="N137" s="305">
        <f t="shared" si="83"/>
        <v>-125.03999999999999</v>
      </c>
      <c r="O137" s="304"/>
      <c r="P137" s="302"/>
      <c r="Q137" s="171">
        <f>SUMIFS(BV_Data_An_Prec!$O:$O,BV_Data_An_Prec!$U:$U,$B137,BV_Data_An_Prec!$V:$V,$C137,BV_Data_An_Prec!$W:$W,$L$2)</f>
        <v>-370.82</v>
      </c>
      <c r="R137" s="304"/>
      <c r="S137" s="196">
        <f t="shared" si="84"/>
        <v>370.82</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3091</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0</v>
      </c>
      <c r="M138" s="297"/>
      <c r="N138" s="298">
        <f t="shared" si="83"/>
        <v>-2428.3689099999997</v>
      </c>
      <c r="O138" s="297"/>
      <c r="P138" s="172"/>
      <c r="Q138" s="174">
        <f>SUMIFS(BV_Data_An_Prec!$O:$O,BV_Data_An_Prec!$U:$U,$B138,BV_Data_An_Prec!$V:$V,$C138,BV_Data_An_Prec!$W:$W,$L$2)</f>
        <v>1682.22</v>
      </c>
      <c r="R138" s="297"/>
      <c r="S138" s="193">
        <f t="shared" si="84"/>
        <v>-1682.22</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3092</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0</v>
      </c>
      <c r="M139" s="297"/>
      <c r="N139" s="298">
        <f t="shared" si="83"/>
        <v>-297.05317500000001</v>
      </c>
      <c r="O139" s="297"/>
      <c r="P139" s="172"/>
      <c r="Q139" s="174">
        <f>SUMIFS(BV_Data_An_Prec!$O:$O,BV_Data_An_Prec!$U:$U,$B139,BV_Data_An_Prec!$V:$V,$C139,BV_Data_An_Prec!$W:$W,$L$2)</f>
        <v>306.33</v>
      </c>
      <c r="R139" s="297"/>
      <c r="S139" s="193">
        <f t="shared" si="84"/>
        <v>-306.33</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3093</v>
      </c>
      <c r="B140" s="24" t="s">
        <v>144</v>
      </c>
      <c r="C140" s="320" t="s">
        <v>126</v>
      </c>
      <c r="D140" s="301"/>
      <c r="E140" s="302"/>
      <c r="F140" s="171">
        <f>+INDEX('Budget original'!$A$2:$AO$500,MATCH($A140,'Budget original'!$A$2:$A$500,0),MATCH(F$2,'Budget original'!$A$2:$AO$2,0))</f>
        <v>1324.5378666666666</v>
      </c>
      <c r="G140" s="303"/>
      <c r="H140" s="302"/>
      <c r="I140" s="171">
        <f>+INDEX('Budget révisé'!$A$2:$AO$500,MATCH($A140,'Budget révisé'!$A$2:$A$500,0),MATCH(I$2,'Budget révisé'!$A$2:$AO$2,0))</f>
        <v>1324.5378666666666</v>
      </c>
      <c r="J140" s="304"/>
      <c r="K140" s="302"/>
      <c r="L140" s="238">
        <f>SUMIFS(BV_Data_An_Cour!$P:$P,BV_Data_An_Cour!$V:$V,$B140,BV_Data_An_Cour!$W:$W,$C140,BV_Data_An_Cour!$X:$X,$L$2)</f>
        <v>0</v>
      </c>
      <c r="M140" s="304"/>
      <c r="N140" s="305">
        <f t="shared" si="83"/>
        <v>-1324.5378666666666</v>
      </c>
      <c r="O140" s="304"/>
      <c r="P140" s="302"/>
      <c r="Q140" s="171">
        <f>SUMIFS(BV_Data_An_Prec!$O:$O,BV_Data_An_Prec!$U:$U,$B140,BV_Data_An_Prec!$V:$V,$C140,BV_Data_An_Prec!$W:$W,$L$2)</f>
        <v>1037.4100000000001</v>
      </c>
      <c r="R140" s="304"/>
      <c r="S140" s="196">
        <f t="shared" si="84"/>
        <v>-1037.4100000000001</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3094</v>
      </c>
      <c r="B141" s="24" t="s">
        <v>144</v>
      </c>
      <c r="C141" s="258" t="s">
        <v>127</v>
      </c>
      <c r="D141" s="295"/>
      <c r="E141" s="172"/>
      <c r="F141" s="173">
        <f>+INDEX('Budget original'!$A$2:$AO$500,MATCH($A141,'Budget original'!$A$2:$A$500,0),MATCH(F$2,'Budget original'!$A$2:$AO$2,0))</f>
        <v>89.804909921362054</v>
      </c>
      <c r="G141" s="296"/>
      <c r="H141" s="172"/>
      <c r="I141" s="173">
        <f>+INDEX('Budget révisé'!$A$2:$AO$500,MATCH($A141,'Budget révisé'!$A$2:$A$500,0),MATCH(I$2,'Budget révisé'!$A$2:$AO$2,0))</f>
        <v>89.804909921362054</v>
      </c>
      <c r="J141" s="297"/>
      <c r="K141" s="172"/>
      <c r="L141" s="275">
        <f>SUMIFS(BV_Data_An_Cour!$P:$P,BV_Data_An_Cour!$V:$V,$B141,BV_Data_An_Cour!$W:$W,$C141,BV_Data_An_Cour!$X:$X,$L$2)</f>
        <v>0</v>
      </c>
      <c r="M141" s="297"/>
      <c r="N141" s="298">
        <f t="shared" si="83"/>
        <v>-89.804909921362054</v>
      </c>
      <c r="O141" s="297"/>
      <c r="P141" s="172"/>
      <c r="Q141" s="174">
        <f>SUMIFS(BV_Data_An_Prec!$O:$O,BV_Data_An_Prec!$U:$U,$B141,BV_Data_An_Prec!$V:$V,$C141,BV_Data_An_Prec!$W:$W,$L$2)</f>
        <v>-8.27</v>
      </c>
      <c r="R141" s="297"/>
      <c r="S141" s="193">
        <f t="shared" si="84"/>
        <v>8.27</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3095</v>
      </c>
      <c r="B142" s="24" t="s">
        <v>144</v>
      </c>
      <c r="C142" s="258" t="s">
        <v>128</v>
      </c>
      <c r="D142" s="295"/>
      <c r="E142" s="172"/>
      <c r="F142" s="173">
        <f>+INDEX('Budget original'!$A$2:$AO$500,MATCH($A142,'Budget original'!$A$2:$A$500,0),MATCH(F$2,'Budget original'!$A$2:$AO$2,0))</f>
        <v>47.719968360328004</v>
      </c>
      <c r="G142" s="296"/>
      <c r="H142" s="172"/>
      <c r="I142" s="173">
        <f>+INDEX('Budget révisé'!$A$2:$AO$500,MATCH($A142,'Budget révisé'!$A$2:$A$500,0),MATCH(I$2,'Budget révisé'!$A$2:$AO$2,0))</f>
        <v>47.719968360328004</v>
      </c>
      <c r="J142" s="297"/>
      <c r="K142" s="172"/>
      <c r="L142" s="275">
        <f>SUMIFS(BV_Data_An_Cour!$P:$P,BV_Data_An_Cour!$V:$V,$B142,BV_Data_An_Cour!$W:$W,$C142,BV_Data_An_Cour!$X:$X,$L$2)</f>
        <v>0</v>
      </c>
      <c r="M142" s="297"/>
      <c r="N142" s="298">
        <f t="shared" si="83"/>
        <v>-47.719968360328004</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3096</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0</v>
      </c>
      <c r="M143" s="297"/>
      <c r="N143" s="298">
        <f t="shared" si="83"/>
        <v>-244.82411999999999</v>
      </c>
      <c r="O143" s="297"/>
      <c r="P143" s="172"/>
      <c r="Q143" s="548">
        <f>SUMIFS(BV_Data_An_Prec!$O:$O,BV_Data_An_Prec!$U:$U,$B143,BV_Data_An_Prec!$V:$V,$C143,BV_Data_An_Prec!$W:$W,$L$2)</f>
        <v>308.2</v>
      </c>
      <c r="R143" s="297"/>
      <c r="S143" s="193">
        <f t="shared" si="84"/>
        <v>-308.2</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3097</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0</v>
      </c>
      <c r="M144" s="297"/>
      <c r="N144" s="298">
        <f t="shared" si="83"/>
        <v>-113.04919750000001</v>
      </c>
      <c r="O144" s="297"/>
      <c r="P144" s="172"/>
      <c r="Q144" s="174">
        <f>SUMIFS(BV_Data_An_Prec!$O:$O,BV_Data_An_Prec!$U:$U,$B144,BV_Data_An_Prec!$V:$V,$C144,BV_Data_An_Prec!$W:$W,$L$2)</f>
        <v>37.659999999999997</v>
      </c>
      <c r="R144" s="297"/>
      <c r="S144" s="193">
        <f t="shared" si="84"/>
        <v>-37.659999999999997</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3098</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0</v>
      </c>
      <c r="M145" s="297"/>
      <c r="N145" s="298">
        <f t="shared" si="83"/>
        <v>-60.343902499999984</v>
      </c>
      <c r="O145" s="297"/>
      <c r="P145" s="172"/>
      <c r="Q145" s="174">
        <f>SUMIFS(BV_Data_An_Prec!$O:$O,BV_Data_An_Prec!$U:$U,$B145,BV_Data_An_Prec!$V:$V,$C145,BV_Data_An_Prec!$W:$W,$L$2)</f>
        <v>143.5</v>
      </c>
      <c r="R145" s="297"/>
      <c r="S145" s="193">
        <f t="shared" si="84"/>
        <v>-143.5</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3099</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0</v>
      </c>
      <c r="M146" s="297"/>
      <c r="N146" s="298">
        <f t="shared" si="83"/>
        <v>-291.0875974999999</v>
      </c>
      <c r="O146" s="297"/>
      <c r="P146" s="172"/>
      <c r="Q146" s="174">
        <f>SUMIFS(BV_Data_An_Prec!$O:$O,BV_Data_An_Prec!$U:$U,$B146,BV_Data_An_Prec!$V:$V,$C146,BV_Data_An_Prec!$W:$W,$L$2)</f>
        <v>509.21</v>
      </c>
      <c r="R146" s="297"/>
      <c r="S146" s="193">
        <f t="shared" si="84"/>
        <v>-509.21</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3100</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0</v>
      </c>
      <c r="M147" s="297"/>
      <c r="N147" s="298">
        <f t="shared" si="83"/>
        <v>-432.47109999999998</v>
      </c>
      <c r="O147" s="297"/>
      <c r="P147" s="172"/>
      <c r="Q147" s="174">
        <f>SUMIFS(BV_Data_An_Prec!$O:$O,BV_Data_An_Prec!$U:$U,$B147,BV_Data_An_Prec!$V:$V,$C147,BV_Data_An_Prec!$W:$W,$L$2)</f>
        <v>10.62</v>
      </c>
      <c r="R147" s="297"/>
      <c r="S147" s="193">
        <f t="shared" si="84"/>
        <v>-10.62</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3101</v>
      </c>
      <c r="B148" s="24" t="s">
        <v>144</v>
      </c>
      <c r="C148" s="258" t="s">
        <v>134</v>
      </c>
      <c r="D148" s="295"/>
      <c r="E148" s="172"/>
      <c r="F148" s="173">
        <f>+INDEX('Budget original'!$A$2:$AO$500,MATCH($A148,'Budget original'!$A$2:$A$500,0),MATCH(F$2,'Budget original'!$A$2:$AO$2,0))</f>
        <v>1120.0337600408072</v>
      </c>
      <c r="G148" s="296"/>
      <c r="H148" s="172"/>
      <c r="I148" s="173">
        <f>+INDEX('Budget révisé'!$A$2:$AO$500,MATCH($A148,'Budget révisé'!$A$2:$A$500,0),MATCH(I$2,'Budget révisé'!$A$2:$AO$2,0))</f>
        <v>1120.0337600408072</v>
      </c>
      <c r="J148" s="297"/>
      <c r="K148" s="172"/>
      <c r="L148" s="275">
        <f>AF447*W4</f>
        <v>0</v>
      </c>
      <c r="M148" s="297"/>
      <c r="N148" s="298">
        <f t="shared" ref="N148:N151" si="85">L148-I148</f>
        <v>-1120.0337600408072</v>
      </c>
      <c r="O148" s="297"/>
      <c r="P148" s="172"/>
      <c r="Q148" s="275">
        <f>AL447*W4</f>
        <v>911.41499999999996</v>
      </c>
      <c r="R148" s="297"/>
      <c r="S148" s="193">
        <f t="shared" ref="S148:S151" si="86">L148-Q148</f>
        <v>-911.41499999999996</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3077</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3077</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3077</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3102</v>
      </c>
      <c r="B152" s="24" t="s">
        <v>144</v>
      </c>
      <c r="C152" s="292" t="s">
        <v>135</v>
      </c>
      <c r="D152" s="39" t="s">
        <v>111</v>
      </c>
      <c r="E152" s="40">
        <f>F152/F$107</f>
        <v>4.8262299952237707E-2</v>
      </c>
      <c r="F152" s="41">
        <f>+SUM(F135:F151)</f>
        <v>6574.334507489164</v>
      </c>
      <c r="G152" s="42" t="s">
        <v>111</v>
      </c>
      <c r="H152" s="40">
        <f>I152/I$107</f>
        <v>4.8262299952237707E-2</v>
      </c>
      <c r="I152" s="41">
        <f>+SUM(I135:I151)</f>
        <v>6574.334507489164</v>
      </c>
      <c r="J152" s="42" t="s">
        <v>111</v>
      </c>
      <c r="K152" s="40" t="e">
        <f>L152/L$107</f>
        <v>#DIV/0!</v>
      </c>
      <c r="L152" s="41">
        <f>+SUM(L135:L151)</f>
        <v>0</v>
      </c>
      <c r="M152" s="44"/>
      <c r="N152" s="41">
        <f t="shared" ref="N152" si="87">L152-I152</f>
        <v>-6574.334507489164</v>
      </c>
      <c r="O152" s="42" t="s">
        <v>111</v>
      </c>
      <c r="P152" s="40">
        <f>Q152/Q$107</f>
        <v>3.2532862644754246E-2</v>
      </c>
      <c r="Q152" s="41">
        <f>+SUM(Q135:Q151)</f>
        <v>4567.4750000000004</v>
      </c>
      <c r="R152" s="44"/>
      <c r="S152" s="310">
        <f t="shared" ref="S152" si="88">L152-Q152</f>
        <v>-4567.4750000000004</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3103</v>
      </c>
      <c r="B154" s="24" t="s">
        <v>144</v>
      </c>
      <c r="C154" s="292" t="s">
        <v>136</v>
      </c>
      <c r="D154" s="39" t="s">
        <v>111</v>
      </c>
      <c r="E154" s="40">
        <f>F154/F$107</f>
        <v>0.72709497943070511</v>
      </c>
      <c r="F154" s="41">
        <f>F121+F134+F152</f>
        <v>99045.541099865746</v>
      </c>
      <c r="G154" s="42" t="s">
        <v>111</v>
      </c>
      <c r="H154" s="40">
        <f>I154/I$107</f>
        <v>0.72709497943070511</v>
      </c>
      <c r="I154" s="41">
        <f>I121+I134+I152</f>
        <v>99045.541099865746</v>
      </c>
      <c r="J154" s="42" t="s">
        <v>111</v>
      </c>
      <c r="K154" s="40" t="e">
        <f>L154/L$107</f>
        <v>#DIV/0!</v>
      </c>
      <c r="L154" s="41">
        <f>L121+L134+L152</f>
        <v>0</v>
      </c>
      <c r="M154" s="44"/>
      <c r="N154" s="46">
        <f>L154-I154</f>
        <v>-99045.541099865746</v>
      </c>
      <c r="O154" s="42" t="s">
        <v>111</v>
      </c>
      <c r="P154" s="40">
        <f>Q154/Q$107</f>
        <v>0.65693924594430364</v>
      </c>
      <c r="Q154" s="41">
        <f>Q121+Q134+Q152</f>
        <v>92231.464999999997</v>
      </c>
      <c r="R154" s="44"/>
      <c r="S154" s="293">
        <f>L154-Q154</f>
        <v>-92231.464999999997</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3104</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3105</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3106</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3107</v>
      </c>
      <c r="B158" s="24" t="s">
        <v>144</v>
      </c>
      <c r="C158" s="258" t="s">
        <v>141</v>
      </c>
      <c r="D158" s="295"/>
      <c r="E158" s="172"/>
      <c r="F158" s="173">
        <f>+INDEX('Budget original'!$A$2:$AO$500,MATCH($A158,'Budget original'!$A$2:$A$500,0),MATCH(F$2,'Budget original'!$A$2:$AO$2,0))</f>
        <v>14747.504854368934</v>
      </c>
      <c r="G158" s="296"/>
      <c r="H158" s="172"/>
      <c r="I158" s="173">
        <f>+INDEX('Budget révisé'!$A$2:$AO$500,MATCH($A158,'Budget révisé'!$A$2:$A$500,0),MATCH(I$2,'Budget révisé'!$A$2:$AO$2,0))</f>
        <v>14747.504854368934</v>
      </c>
      <c r="J158" s="1327">
        <f>L158/399</f>
        <v>0</v>
      </c>
      <c r="K158" s="618" t="e">
        <f>J158/J96</f>
        <v>#DIV/0!</v>
      </c>
      <c r="L158" s="961">
        <f>349*J96</f>
        <v>0</v>
      </c>
      <c r="M158" s="297"/>
      <c r="N158" s="298">
        <f t="shared" ref="N158" si="91">L158-I158</f>
        <v>-14747.504854368934</v>
      </c>
      <c r="O158" s="297"/>
      <c r="P158" s="172"/>
      <c r="Q158" s="174">
        <f>349*O96</f>
        <v>11866</v>
      </c>
      <c r="R158" s="297"/>
      <c r="S158" s="193">
        <f t="shared" ref="S158" si="92">L158-Q158</f>
        <v>-11866</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3077</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3077</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3077</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14747.504854368934</v>
      </c>
      <c r="G162" s="42"/>
      <c r="H162" s="40"/>
      <c r="I162" s="41">
        <f>+SUM(I155:I161)</f>
        <v>14747.504854368934</v>
      </c>
      <c r="J162" s="42"/>
      <c r="K162" s="40"/>
      <c r="L162" s="41">
        <f>+SUM(L155:L161)</f>
        <v>0</v>
      </c>
      <c r="M162" s="44"/>
      <c r="N162" s="41">
        <f>SUM(N157:N157)</f>
        <v>0</v>
      </c>
      <c r="O162" s="42"/>
      <c r="P162" s="40"/>
      <c r="Q162" s="41">
        <f>+SUM(Q155:Q161)</f>
        <v>11866</v>
      </c>
      <c r="R162" s="44"/>
      <c r="S162" s="310">
        <f>+SUM(S155:S161)</f>
        <v>-11866</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51922.875604858171</v>
      </c>
      <c r="G164" s="338"/>
      <c r="H164" s="336"/>
      <c r="I164" s="337">
        <f>I107-I154+I162</f>
        <v>51922.875604858171</v>
      </c>
      <c r="J164" s="339"/>
      <c r="K164" s="340"/>
      <c r="L164" s="337">
        <f>L107-L154+L162</f>
        <v>0</v>
      </c>
      <c r="M164" s="339"/>
      <c r="N164" s="337">
        <f>L164-I164</f>
        <v>-51922.875604858171</v>
      </c>
      <c r="O164" s="339"/>
      <c r="P164" s="340"/>
      <c r="Q164" s="337">
        <f>Q107-Q154+Q162</f>
        <v>60030.264999999927</v>
      </c>
      <c r="R164" s="339"/>
      <c r="S164" s="341">
        <f>L164-Q164</f>
        <v>-60030.264999999927</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91" t="str">
        <f>C1</f>
        <v>Volks</v>
      </c>
      <c r="D167" s="19"/>
      <c r="E167" s="19"/>
      <c r="F167" s="19"/>
      <c r="G167" s="19"/>
      <c r="H167" s="18"/>
      <c r="I167" s="18"/>
      <c r="J167" s="18"/>
      <c r="K167" s="5" t="s">
        <v>155</v>
      </c>
      <c r="L167" s="19"/>
      <c r="M167" s="19"/>
      <c r="N167" s="18"/>
      <c r="O167" s="18"/>
      <c r="P167" s="19"/>
      <c r="Q167" s="18"/>
      <c r="R167" s="19"/>
      <c r="S167" s="6" t="str">
        <f>$S$1</f>
        <v>Réalisé, Octobre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21" t="s">
        <v>77</v>
      </c>
      <c r="E169" s="1422"/>
      <c r="F169" s="1423"/>
      <c r="G169" s="1424" t="s">
        <v>145</v>
      </c>
      <c r="H169" s="1422"/>
      <c r="I169" s="1423"/>
      <c r="J169" s="1424" t="s">
        <v>79</v>
      </c>
      <c r="K169" s="1422"/>
      <c r="L169" s="1423"/>
      <c r="M169" s="1424" t="s">
        <v>80</v>
      </c>
      <c r="N169" s="1423"/>
      <c r="O169" s="1421" t="s">
        <v>81</v>
      </c>
      <c r="P169" s="1422"/>
      <c r="Q169" s="1423"/>
      <c r="R169" s="1424" t="s">
        <v>82</v>
      </c>
      <c r="S169" s="1425"/>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3108</v>
      </c>
      <c r="B171" s="24" t="s">
        <v>155</v>
      </c>
      <c r="C171" s="258" t="s">
        <v>159</v>
      </c>
      <c r="D171" s="191">
        <f>+INDEX('Budget original'!$A$2:$AO$500,MATCH($A171,'Budget original'!$A$2:$A$500,0),MATCH(D$2,'Budget original'!$A$2:$AO$2,0))</f>
        <v>609.24393609511401</v>
      </c>
      <c r="E171" s="191">
        <f>+INDEX('Budget original'!$A$2:$AO$500,MATCH($A171,'Budget original'!$A$2:$A$500,0),MATCH(E$2,'Budget original'!$A$2:$AO$2,0))</f>
        <v>151092.49615158828</v>
      </c>
      <c r="F171" s="191">
        <f>+INDEX('Budget original'!$A$2:$AO$500,MATCH($A171,'Budget original'!$A$2:$A$500,0),MATCH(F$2,'Budget original'!$A$2:$AO$2,0))</f>
        <v>113470.46460984279</v>
      </c>
      <c r="G171" s="319">
        <f>+INDEX('Budget révisé'!$A$2:$AO$500,MATCH($A171,'Budget révisé'!$A$2:$A$500,0),MATCH(G$2,'Budget révisé'!$A$2:$AO$2,0))</f>
        <v>609.24393609511401</v>
      </c>
      <c r="H171" s="191">
        <f>+INDEX('Budget révisé'!$A$2:$AO$500,MATCH($A171,'Budget révisé'!$A$2:$A$500,0),MATCH(H$2,'Budget révisé'!$A$2:$AO$2,0))</f>
        <v>151092.49615158828</v>
      </c>
      <c r="I171" s="191">
        <f>+INDEX('Budget révisé'!$A$2:$AO$500,MATCH($A171,'Budget révisé'!$A$2:$A$500,0),MATCH(I$2,'Budget révisé'!$A$2:$AO$2,0))</f>
        <v>113470.46460984279</v>
      </c>
      <c r="J171" s="319">
        <f>-SUMIFS(BV_Data_An_Cour!$P:$P,BV_Data_An_Cour!$V:$V,$B171,BV_Data_An_Cour!$W:$W,$C171,BV_Data_An_Cour!$X:$X,J$2)</f>
        <v>0</v>
      </c>
      <c r="K171" s="173">
        <f>-SUMIFS(BV_Data_An_Cour!$P:$P,BV_Data_An_Cour!$Y:$Y,"Oui",BV_Data_An_Cour!$V:$V,$B171,BV_Data_An_Cour!$W:$W,$C171)</f>
        <v>0</v>
      </c>
      <c r="L171" s="174">
        <f>-SUMIFS(BV_Data_An_Cour!$P:$P,BV_Data_An_Cour!$V:$V,$B171,BV_Data_An_Cour!$W:$W,$C171,BV_Data_An_Cour!$X:$X,$L$2)</f>
        <v>0</v>
      </c>
      <c r="M171" s="318">
        <f>(J171-G171)/G171</f>
        <v>-1</v>
      </c>
      <c r="N171" s="298">
        <f>L171-I171</f>
        <v>-113470.46460984279</v>
      </c>
      <c r="O171" s="319">
        <f>-SUMIFS(BV_Data_An_Prec!$O:$O,BV_Data_An_Prec!$U:$U,$B171,BV_Data_An_Prec!$V:$V,$C171,BV_Data_An_Prec!$W:$W,O$2)</f>
        <v>545</v>
      </c>
      <c r="P171" s="173">
        <f>-SUMIFS(BV_Data_An_Prec!$O:$O,BV_Data_An_Prec!$X:$X,"Oui",BV_Data_An_Prec!$U:$U,$B171,BV_Data_An_Prec!$V:$V,$C171)</f>
        <v>142078.32</v>
      </c>
      <c r="Q171" s="174">
        <f>-SUMIFS(BV_Data_An_Prec!$O:$O,BV_Data_An_Prec!$U:$U,$B171,BV_Data_An_Prec!$V:$V,$C171,BV_Data_An_Prec!$W:$W,$L$2)</f>
        <v>109913.84000000001</v>
      </c>
      <c r="R171" s="318">
        <f>IF(O171=0,0,J171/O171)</f>
        <v>0</v>
      </c>
      <c r="S171" s="193">
        <f>L171-Q171</f>
        <v>-109913.84000000001</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3109</v>
      </c>
      <c r="B172" s="24" t="s">
        <v>155</v>
      </c>
      <c r="C172" s="258" t="s">
        <v>160</v>
      </c>
      <c r="D172" s="191"/>
      <c r="E172" s="343"/>
      <c r="F172" s="344">
        <f>F171/E171</f>
        <v>0.751</v>
      </c>
      <c r="G172" s="319"/>
      <c r="H172" s="343"/>
      <c r="I172" s="344">
        <f>I171/H171</f>
        <v>0.751</v>
      </c>
      <c r="J172" s="319"/>
      <c r="K172" s="172"/>
      <c r="L172" s="229">
        <f>IF(L171=0,0,L171/K171)</f>
        <v>0</v>
      </c>
      <c r="M172" s="318"/>
      <c r="N172" s="298"/>
      <c r="O172" s="319"/>
      <c r="P172" s="172"/>
      <c r="Q172" s="344">
        <f>IF(Q171=0,0,Q171/P171)</f>
        <v>0.77361444026083648</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70">
        <f t="shared" ref="E173" si="95">IFERROR(E171/D171,0)</f>
        <v>248</v>
      </c>
      <c r="F173" s="353"/>
      <c r="G173" s="333"/>
      <c r="H173" s="1370">
        <f t="shared" ref="H173" si="96">IFERROR(H171/G171,0)</f>
        <v>248</v>
      </c>
      <c r="I173" s="353"/>
      <c r="J173" s="333"/>
      <c r="K173" s="1370">
        <f t="shared" ref="K173" si="97">IFERROR(K171/J171,0)</f>
        <v>0</v>
      </c>
      <c r="L173" s="353"/>
      <c r="M173" s="355"/>
      <c r="N173" s="305"/>
      <c r="O173" s="333"/>
      <c r="P173" s="1370">
        <f t="shared" ref="P173" si="98">IFERROR(P171/O171,0)</f>
        <v>260.69416513761468</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3110</v>
      </c>
      <c r="B174" s="24" t="s">
        <v>155</v>
      </c>
      <c r="C174" s="345" t="s">
        <v>161</v>
      </c>
      <c r="D174" s="351">
        <f>+INDEX('Budget original'!$A$2:$AO$500,MATCH($A174,'Budget original'!$A$2:$A$500,0),MATCH(D$2,'Budget original'!$A$2:$AO$2,0))</f>
        <v>297.82830108588445</v>
      </c>
      <c r="E174" s="191">
        <f>+INDEX('Budget original'!$A$2:$AO$500,MATCH($A174,'Budget original'!$A$2:$A$500,0),MATCH(E$2,'Budget original'!$A$2:$AO$2,0))</f>
        <v>58999.079910651286</v>
      </c>
      <c r="F174" s="191">
        <f>+INDEX('Budget original'!$A$2:$AO$500,MATCH($A174,'Budget original'!$A$2:$A$500,0),MATCH(F$2,'Budget original'!$A$2:$AO$2,0))</f>
        <v>41561.967280962228</v>
      </c>
      <c r="G174" s="348">
        <f>+INDEX('Budget révisé'!$A$2:$AO$500,MATCH($A174,'Budget révisé'!$A$2:$A$500,0),MATCH(G$2,'Budget révisé'!$A$2:$AO$2,0))</f>
        <v>297.82830108588445</v>
      </c>
      <c r="H174" s="191">
        <f>+INDEX('Budget révisé'!$A$2:$AO$500,MATCH($A174,'Budget révisé'!$A$2:$A$500,0),MATCH(H$2,'Budget révisé'!$A$2:$AO$2,0))</f>
        <v>58999.079910651286</v>
      </c>
      <c r="I174" s="191">
        <f>+INDEX('Budget révisé'!$A$2:$AO$500,MATCH($A174,'Budget révisé'!$A$2:$A$500,0),MATCH(I$2,'Budget révisé'!$A$2:$AO$2,0))</f>
        <v>41561.967280962228</v>
      </c>
      <c r="J174" s="348">
        <f>-SUMIFS(BV_Data_An_Cour!$P:$P,BV_Data_An_Cour!$V:$V,$B174,BV_Data_An_Cour!$W:$W,$C174,BV_Data_An_Cour!$X:$X,J$2)</f>
        <v>0</v>
      </c>
      <c r="K174" s="180">
        <f>-SUMIFS(BV_Data_An_Cour!$P:$P,BV_Data_An_Cour!$Y:$Y,"Oui",BV_Data_An_Cour!$V:$V,$B174,BV_Data_An_Cour!$W:$W,$C174)</f>
        <v>0</v>
      </c>
      <c r="L174" s="174">
        <f>-SUMIFS(BV_Data_An_Cour!$P:$P,BV_Data_An_Cour!$V:$V,$B174,BV_Data_An_Cour!$W:$W,$C174,BV_Data_An_Cour!$X:$X,$L$2)</f>
        <v>0</v>
      </c>
      <c r="M174" s="318">
        <f>(J174-G174)/G174</f>
        <v>-1</v>
      </c>
      <c r="N174" s="350">
        <f>L174-I174</f>
        <v>-41561.967280962228</v>
      </c>
      <c r="O174" s="348">
        <f>-SUMIFS(BV_Data_An_Prec!$O:$O,BV_Data_An_Prec!$U:$U,$B174,BV_Data_An_Prec!$V:$V,$C174,BV_Data_An_Prec!$W:$W,O$2)</f>
        <v>335</v>
      </c>
      <c r="P174" s="180">
        <f>-SUMIFS(BV_Data_An_Prec!$O:$O,BV_Data_An_Prec!$X:$X,"Oui",BV_Data_An_Prec!$U:$U,$B174,BV_Data_An_Prec!$V:$V,$C174)</f>
        <v>51414.36</v>
      </c>
      <c r="Q174" s="174">
        <f>-SUMIFS(BV_Data_An_Prec!$O:$O,BV_Data_An_Prec!$U:$U,$B174,BV_Data_An_Prec!$V:$V,$C174,BV_Data_An_Prec!$W:$W,$L$2)</f>
        <v>39213.01</v>
      </c>
      <c r="R174" s="318">
        <f>IF(O174=0,0,J174/O174)</f>
        <v>0</v>
      </c>
      <c r="S174" s="193">
        <f>L174-Q174</f>
        <v>-39213.01</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3109</v>
      </c>
      <c r="B175" s="24" t="s">
        <v>155</v>
      </c>
      <c r="C175" s="258" t="s">
        <v>160</v>
      </c>
      <c r="D175" s="172"/>
      <c r="E175" s="172"/>
      <c r="F175" s="344">
        <f>F174/E174</f>
        <v>0.70445110913431241</v>
      </c>
      <c r="G175" s="297"/>
      <c r="H175" s="172"/>
      <c r="I175" s="344">
        <f>I174/H174</f>
        <v>0.70445110913431241</v>
      </c>
      <c r="J175" s="297"/>
      <c r="K175" s="172"/>
      <c r="L175" s="344">
        <f>IF(L174=0,0,L174/K174)</f>
        <v>0</v>
      </c>
      <c r="M175" s="356"/>
      <c r="N175" s="326"/>
      <c r="O175" s="297"/>
      <c r="P175" s="172"/>
      <c r="Q175" s="344">
        <f>IF(Q174=0,0,Q174/P174)</f>
        <v>0.76268594999529316</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70">
        <f t="shared" ref="E176" si="99">IFERROR(E174/D174,0)</f>
        <v>198.09762771214204</v>
      </c>
      <c r="F176" s="353"/>
      <c r="G176" s="333"/>
      <c r="H176" s="1370">
        <f t="shared" ref="H176" si="100">IFERROR(H174/G174,0)</f>
        <v>198.09762771214204</v>
      </c>
      <c r="I176" s="353"/>
      <c r="J176" s="333"/>
      <c r="K176" s="1370">
        <f t="shared" ref="K176" si="101">IFERROR(K174/J174,0)</f>
        <v>0</v>
      </c>
      <c r="L176" s="353"/>
      <c r="M176" s="355"/>
      <c r="N176" s="305"/>
      <c r="O176" s="333"/>
      <c r="P176" s="1370">
        <f t="shared" ref="P176" si="102">IFERROR(P174/O174,0)</f>
        <v>153.47570149253733</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3111</v>
      </c>
      <c r="B177" s="24" t="s">
        <v>155</v>
      </c>
      <c r="C177" s="258" t="s">
        <v>162</v>
      </c>
      <c r="D177" s="191">
        <f>+INDEX('Budget original'!$A$2:$AO$500,MATCH($A177,'Budget original'!$A$2:$A$500,0),MATCH(D$2,'Budget original'!$A$2:$AO$2,0))</f>
        <v>381.85221492953718</v>
      </c>
      <c r="E177" s="191">
        <f>+INDEX('Budget original'!$A$2:$AO$500,MATCH($A177,'Budget original'!$A$2:$A$500,0),MATCH(E$2,'Budget original'!$A$2:$AO$2,0))</f>
        <v>82245.91078097331</v>
      </c>
      <c r="F177" s="191">
        <f>+INDEX('Budget original'!$A$2:$AO$500,MATCH($A177,'Budget original'!$A$2:$A$500,0),MATCH(F$2,'Budget original'!$A$2:$AO$2,0))</f>
        <v>60676.268246849497</v>
      </c>
      <c r="G177" s="319">
        <f>+INDEX('Budget révisé'!$A$2:$AO$500,MATCH($A177,'Budget révisé'!$A$2:$A$500,0),MATCH(G$2,'Budget révisé'!$A$2:$AO$2,0))</f>
        <v>381.85221492953718</v>
      </c>
      <c r="H177" s="191">
        <f>+INDEX('Budget révisé'!$A$2:$AO$500,MATCH($A177,'Budget révisé'!$A$2:$A$500,0),MATCH(H$2,'Budget révisé'!$A$2:$AO$2,0))</f>
        <v>82245.91078097331</v>
      </c>
      <c r="I177" s="191">
        <f>+INDEX('Budget révisé'!$A$2:$AO$500,MATCH($A177,'Budget révisé'!$A$2:$A$500,0),MATCH(I$2,'Budget révisé'!$A$2:$AO$2,0))</f>
        <v>60676.268246849497</v>
      </c>
      <c r="J177" s="319">
        <f>-SUMIFS(BV_Data_An_Cour!$P:$P,BV_Data_An_Cour!$V:$V,$B177,BV_Data_An_Cour!$W:$W,$C177,BV_Data_An_Cour!$X:$X,J$2)</f>
        <v>0</v>
      </c>
      <c r="K177" s="180">
        <f>-SUMIFS(BV_Data_An_Cour!$P:$P,BV_Data_An_Cour!$Y:$Y,"Oui",BV_Data_An_Cour!$V:$V,$B177,BV_Data_An_Cour!$W:$W,$C177)</f>
        <v>0</v>
      </c>
      <c r="L177" s="174">
        <f>-SUMIFS(BV_Data_An_Cour!$P:$P,BV_Data_An_Cour!$V:$V,$B177,BV_Data_An_Cour!$W:$W,$C177,BV_Data_An_Cour!$X:$X,$L$2)</f>
        <v>0</v>
      </c>
      <c r="M177" s="318">
        <f>(J177-G177)/G177</f>
        <v>-1</v>
      </c>
      <c r="N177" s="298">
        <f t="shared" ref="N177:N178" si="103">L177-I177</f>
        <v>-60676.268246849497</v>
      </c>
      <c r="O177" s="319">
        <f>-SUMIFS(BV_Data_An_Prec!$O:$O,BV_Data_An_Prec!$U:$U,$B177,BV_Data_An_Prec!$V:$V,$C177,BV_Data_An_Prec!$W:$W,O$2)</f>
        <v>231</v>
      </c>
      <c r="P177" s="180">
        <f>-SUMIFS(BV_Data_An_Prec!$O:$O,BV_Data_An_Prec!$X:$X,"Oui",BV_Data_An_Prec!$U:$U,$B177,BV_Data_An_Prec!$V:$V,$C177)</f>
        <v>59175.63</v>
      </c>
      <c r="Q177" s="174">
        <f>-SUMIFS(BV_Data_An_Prec!$O:$O,BV_Data_An_Prec!$U:$U,$B177,BV_Data_An_Prec!$V:$V,$C177,BV_Data_An_Prec!$W:$W,$L$2)</f>
        <v>45442.81</v>
      </c>
      <c r="R177" s="318">
        <f>IF(O177=0,0,J177/O177)</f>
        <v>0</v>
      </c>
      <c r="S177" s="193">
        <f>L177-Q177</f>
        <v>-45442.81</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3109</v>
      </c>
      <c r="B178" s="24" t="s">
        <v>155</v>
      </c>
      <c r="C178" s="258" t="s">
        <v>160</v>
      </c>
      <c r="D178" s="191"/>
      <c r="E178" s="343"/>
      <c r="F178" s="344">
        <f>F177/E177</f>
        <v>0.73774206730392589</v>
      </c>
      <c r="G178" s="319"/>
      <c r="H178" s="343"/>
      <c r="I178" s="344">
        <f>I177/H177</f>
        <v>0.73774206730392589</v>
      </c>
      <c r="J178" s="319"/>
      <c r="K178" s="343"/>
      <c r="L178" s="344">
        <f>IF(L177=0,0,L177/K177)</f>
        <v>0</v>
      </c>
      <c r="M178" s="318"/>
      <c r="N178" s="298">
        <f t="shared" si="103"/>
        <v>-0.73774206730392589</v>
      </c>
      <c r="O178" s="319"/>
      <c r="P178" s="343"/>
      <c r="Q178" s="344">
        <f>IF(Q177=0,0,Q177/P177)</f>
        <v>0.76793115679545787</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70">
        <f t="shared" ref="E179" si="104">IFERROR(E177/D177,0)</f>
        <v>215.38675845091029</v>
      </c>
      <c r="F179" s="353"/>
      <c r="G179" s="333"/>
      <c r="H179" s="1370">
        <f t="shared" ref="H179" si="105">IFERROR(H177/G177,0)</f>
        <v>215.38675845091029</v>
      </c>
      <c r="I179" s="353"/>
      <c r="J179" s="333"/>
      <c r="K179" s="1370">
        <f t="shared" ref="K179" si="106">IFERROR(K177/J177,0)</f>
        <v>0</v>
      </c>
      <c r="L179" s="353"/>
      <c r="M179" s="355"/>
      <c r="N179" s="305"/>
      <c r="O179" s="333"/>
      <c r="P179" s="1370">
        <f t="shared" ref="P179" si="107">IFERROR(P177/O177,0)</f>
        <v>256.17155844155843</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3112</v>
      </c>
      <c r="B180" s="24" t="s">
        <v>155</v>
      </c>
      <c r="C180" s="345" t="s">
        <v>163</v>
      </c>
      <c r="D180" s="351">
        <f>+INDEX('Budget original'!$A$2:$AO$500,MATCH($A180,'Budget original'!$A$2:$A$500,0),MATCH(D$2,'Budget original'!$A$2:$AO$2,0))</f>
        <v>0</v>
      </c>
      <c r="E180" s="191">
        <f>+INDEX('Budget original'!$A$2:$AO$500,MATCH($A180,'Budget original'!$A$2:$A$500,0),MATCH(E$2,'Budget original'!$A$2:$AO$2,0))</f>
        <v>423.49297918003003</v>
      </c>
      <c r="F180" s="191">
        <f>+INDEX('Budget original'!$A$2:$AO$500,MATCH($A180,'Budget original'!$A$2:$A$500,0),MATCH(F$2,'Budget original'!$A$2:$AO$2,0))</f>
        <v>160.14410885154888</v>
      </c>
      <c r="G180" s="348">
        <f>+INDEX('Budget révisé'!$A$2:$AO$500,MATCH($A180,'Budget révisé'!$A$2:$A$500,0),MATCH(G$2,'Budget révisé'!$A$2:$AO$2,0))</f>
        <v>0</v>
      </c>
      <c r="H180" s="191">
        <f>+INDEX('Budget révisé'!$A$2:$AO$500,MATCH($A180,'Budget révisé'!$A$2:$A$500,0),MATCH(H$2,'Budget révisé'!$A$2:$AO$2,0))</f>
        <v>423.49297918003003</v>
      </c>
      <c r="I180" s="191">
        <f>+INDEX('Budget révisé'!$A$2:$AO$500,MATCH($A180,'Budget révisé'!$A$2:$A$500,0),MATCH(I$2,'Budget révisé'!$A$2:$AO$2,0))</f>
        <v>160.14410885154888</v>
      </c>
      <c r="J180" s="348">
        <f>-SUMIFS(BV_Data_An_Cour!$P:$P,BV_Data_An_Cour!$V:$V,$B180,BV_Data_An_Cour!$W:$W,$C180,BV_Data_An_Cour!$X:$X,J$2)</f>
        <v>0</v>
      </c>
      <c r="K180" s="180">
        <f>-SUMIFS(BV_Data_An_Cour!$P:$P,BV_Data_An_Cour!$Y:$Y,"Oui",BV_Data_An_Cour!$V:$V,$B180,BV_Data_An_Cour!$W:$W,$C180)</f>
        <v>0</v>
      </c>
      <c r="L180" s="175">
        <f>-SUMIFS(BV_Data_An_Cour!$P:$P,BV_Data_An_Cour!$V:$V,$B180,BV_Data_An_Cour!$W:$W,$C180,BV_Data_An_Cour!$X:$X,$L$2)</f>
        <v>0</v>
      </c>
      <c r="M180" s="349">
        <f>IF(G180=0,0,(J180-G180)/G180)</f>
        <v>0</v>
      </c>
      <c r="N180" s="350">
        <f>L180-I180</f>
        <v>-160.14410885154888</v>
      </c>
      <c r="O180" s="348">
        <f>-SUMIFS(BV_Data_An_Prec!$O:$O,BV_Data_An_Prec!$U:$U,$B180,BV_Data_An_Prec!$V:$V,$C180,BV_Data_An_Prec!$W:$W,O$2)</f>
        <v>0</v>
      </c>
      <c r="P180" s="180">
        <f>-SUMIFS(BV_Data_An_Prec!$O:$O,BV_Data_An_Prec!$X:$X,"Oui",BV_Data_An_Prec!$U:$U,$B180,BV_Data_An_Prec!$V:$V,$C180)</f>
        <v>469.85</v>
      </c>
      <c r="Q180" s="175">
        <f>-SUMIFS(BV_Data_An_Prec!$O:$O,BV_Data_An_Prec!$U:$U,$B180,BV_Data_An_Prec!$V:$V,$C180,BV_Data_An_Prec!$W:$W,$L$2)</f>
        <v>396.87</v>
      </c>
      <c r="R180" s="318">
        <f>IF(O180=0,0,J180/O180)</f>
        <v>0</v>
      </c>
      <c r="S180" s="195">
        <f>L180-Q180</f>
        <v>-396.87</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3109</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v>
      </c>
      <c r="M181" s="319">
        <f>J181-G181</f>
        <v>0</v>
      </c>
      <c r="N181" s="366"/>
      <c r="O181" s="365"/>
      <c r="P181" s="364">
        <f>IF(O181&lt;=0,0,Q181/O181)</f>
        <v>0</v>
      </c>
      <c r="Q181" s="344">
        <f>IF(Q180=0,0,Q180/P180)</f>
        <v>0.84467383207406621</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3113</v>
      </c>
      <c r="B183" s="24" t="s">
        <v>155</v>
      </c>
      <c r="C183" s="258" t="s">
        <v>164</v>
      </c>
      <c r="D183" s="172"/>
      <c r="E183" s="172"/>
      <c r="F183" s="298">
        <f>+INDEX('Budget original'!$A$2:$AO$500,MATCH($A183,'Budget original'!$A$2:$A$500,0),MATCH(F$2,'Budget original'!$A$2:$AO$2,0))</f>
        <v>-4487.7795387013848</v>
      </c>
      <c r="G183" s="297"/>
      <c r="H183" s="191"/>
      <c r="I183" s="191">
        <f>+INDEX('Budget révisé'!$A$2:$AO$500,MATCH($A183,'Budget révisé'!$A$2:$A$500,0),MATCH(I$2,'Budget révisé'!$A$2:$AO$2,0))</f>
        <v>-4487.7795387013848</v>
      </c>
      <c r="J183" s="319"/>
      <c r="K183" s="191"/>
      <c r="L183" s="191">
        <f>-SUMIFS(BV_Data_An_Cour!$P:$P,BV_Data_An_Cour!$V:$V,$B183,BV_Data_An_Cour!$W:$W,$C183,BV_Data_An_Cour!$X:$X,$L$2)</f>
        <v>0</v>
      </c>
      <c r="M183" s="365"/>
      <c r="N183" s="298">
        <f t="shared" ref="N183:N184" si="108">L183-I183</f>
        <v>4487.7795387013848</v>
      </c>
      <c r="O183" s="319"/>
      <c r="P183" s="191"/>
      <c r="Q183" s="174">
        <f>-SUMIFS(BV_Data_An_Prec!$O:$O,BV_Data_An_Prec!$U:$U,$B183,BV_Data_An_Prec!$V:$V,$C183,BV_Data_An_Prec!$W:$W,$L$2)</f>
        <v>-1889.6</v>
      </c>
      <c r="R183" s="203"/>
      <c r="S183" s="193">
        <f t="shared" ref="S183:S184" si="109">L183-Q183</f>
        <v>1889.6</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3114</v>
      </c>
      <c r="B184" s="24" t="s">
        <v>155</v>
      </c>
      <c r="C184" s="374" t="s">
        <v>165</v>
      </c>
      <c r="D184" s="58">
        <f t="shared" ref="D184" si="110">D171+D174+D177+D180+D183</f>
        <v>1288.9244521105356</v>
      </c>
      <c r="E184" s="58">
        <f t="shared" ref="E184:G184" si="111">E171+E174+E177+E180+E183</f>
        <v>292760.97982239287</v>
      </c>
      <c r="F184" s="59">
        <f t="shared" si="111"/>
        <v>211381.0647078047</v>
      </c>
      <c r="G184" s="60">
        <f t="shared" si="111"/>
        <v>1288.9244521105356</v>
      </c>
      <c r="H184" s="58">
        <f t="shared" ref="H184:I184" si="112">H171+H174+H177+H180+H183</f>
        <v>292760.97982239287</v>
      </c>
      <c r="I184" s="59">
        <f t="shared" si="112"/>
        <v>211381.0647078047</v>
      </c>
      <c r="J184" s="60">
        <f t="shared" ref="J184:L184" si="113">J171+J174+J177+J180+J183</f>
        <v>0</v>
      </c>
      <c r="K184" s="58">
        <f t="shared" si="113"/>
        <v>0</v>
      </c>
      <c r="L184" s="59">
        <f t="shared" si="113"/>
        <v>0</v>
      </c>
      <c r="M184" s="61">
        <f>(K184-H184)/H184</f>
        <v>-1</v>
      </c>
      <c r="N184" s="59">
        <f t="shared" si="108"/>
        <v>-211381.0647078047</v>
      </c>
      <c r="O184" s="60">
        <f t="shared" ref="O184:Q184" si="114">O171+O174+O177+O180+O183</f>
        <v>1111</v>
      </c>
      <c r="P184" s="58">
        <f t="shared" si="114"/>
        <v>253138.16</v>
      </c>
      <c r="Q184" s="59">
        <f t="shared" si="114"/>
        <v>193076.93</v>
      </c>
      <c r="R184" s="375">
        <f>IF(O184=0,0,J184/O184)</f>
        <v>0</v>
      </c>
      <c r="S184" s="376">
        <f t="shared" si="109"/>
        <v>-193076.93</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3115</v>
      </c>
      <c r="B185" s="24" t="s">
        <v>155</v>
      </c>
      <c r="C185" s="377" t="s">
        <v>166</v>
      </c>
      <c r="D185" s="62"/>
      <c r="E185" s="1371">
        <f>IF(D184=0,0,E184/D184)</f>
        <v>227.13587234924012</v>
      </c>
      <c r="F185" s="63">
        <f>F184/E184</f>
        <v>0.72202608706953264</v>
      </c>
      <c r="G185" s="64"/>
      <c r="H185" s="1371">
        <f>IF(G184=0,0,H184/G184)</f>
        <v>227.13587234924012</v>
      </c>
      <c r="I185" s="326">
        <f>I184/H184</f>
        <v>0.72202608706953264</v>
      </c>
      <c r="J185" s="64"/>
      <c r="K185" s="1371">
        <f>IF(J184=0,0,K184/J184)</f>
        <v>0</v>
      </c>
      <c r="L185" s="326">
        <f>IF(L184=0,0,L184/K184)</f>
        <v>0</v>
      </c>
      <c r="M185" s="64"/>
      <c r="N185" s="63">
        <f>N184/I184</f>
        <v>-1</v>
      </c>
      <c r="O185" s="64"/>
      <c r="P185" s="1371">
        <f>IF(O184=0,0,P184/O184)</f>
        <v>227.8471287128713</v>
      </c>
      <c r="Q185" s="326">
        <f>IF(Q184=0,0,Q184/P184)</f>
        <v>0.76273340218637908</v>
      </c>
      <c r="R185" s="64"/>
      <c r="S185" s="327">
        <f>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81379.915114588162</v>
      </c>
      <c r="J186" s="220"/>
      <c r="K186" s="218"/>
      <c r="L186" s="219">
        <f>K184-L184</f>
        <v>0</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3116</v>
      </c>
      <c r="B187" s="24" t="s">
        <v>155</v>
      </c>
      <c r="C187" s="285" t="s">
        <v>167</v>
      </c>
      <c r="D187" s="222"/>
      <c r="E187" s="222">
        <f>+INDEX('Budget original'!$A$2:$AO$500,MATCH($A187,'Budget original'!$A$2:$A$500,0),MATCH(E$2,'Budget original'!$A$2:$AO$2,0))</f>
        <v>24591.142143153709</v>
      </c>
      <c r="F187" s="222">
        <f>+INDEX('Budget original'!$A$2:$AO$500,MATCH($A187,'Budget original'!$A$2:$A$500,0),MATCH(F$2,'Budget original'!$A$2:$AO$2,0))</f>
        <v>5388.5510887075625</v>
      </c>
      <c r="G187" s="224"/>
      <c r="H187" s="222">
        <f>+INDEX('Budget révisé'!$A$2:$AO$500,MATCH($A187,'Budget révisé'!$A$2:$A$500,0),MATCH(H$2,'Budget révisé'!$A$2:$AO$2,0))</f>
        <v>24591.142143153709</v>
      </c>
      <c r="I187" s="222">
        <f>+INDEX('Budget révisé'!$A$2:$AO$500,MATCH($A187,'Budget révisé'!$A$2:$A$500,0),MATCH(I$2,'Budget révisé'!$A$2:$AO$2,0))</f>
        <v>5388.5510887075625</v>
      </c>
      <c r="J187" s="224"/>
      <c r="K187" s="225">
        <f>-SUMIFS(BV_Data_An_Cour!$P:$P,BV_Data_An_Cour!$Y:$Y,"Oui",BV_Data_An_Cour!$V:$V,$B187,BV_Data_An_Cour!$W:$W,$C187)</f>
        <v>0</v>
      </c>
      <c r="L187" s="275">
        <f>-SUMIFS(BV_Data_An_Cour!$P:$P,BV_Data_An_Cour!$V:$V,$B187,BV_Data_An_Cour!$W:$W,$C187,BV_Data_An_Cour!$X:$X,$L$2)</f>
        <v>0</v>
      </c>
      <c r="M187" s="505">
        <f>IF(G187=0,0,(J187-G187)/G187)</f>
        <v>0</v>
      </c>
      <c r="N187" s="226">
        <f>L187-I187</f>
        <v>-5388.5510887075625</v>
      </c>
      <c r="O187" s="224"/>
      <c r="P187" s="225">
        <f>-SUMIFS(BV_Data_An_Prec!$O:$O,BV_Data_An_Prec!$X:$X,"Oui",BV_Data_An_Prec!$U:$U,$B187,BV_Data_An_Prec!$V:$V,$C187)</f>
        <v>24360.100000000002</v>
      </c>
      <c r="Q187" s="275">
        <f>-SUMIFS(BV_Data_An_Prec!$O:$O,BV_Data_An_Prec!$U:$U,$B187,BV_Data_An_Prec!$V:$V,$C187,BV_Data_An_Prec!$W:$W,$L$2)</f>
        <v>6127.1100000000006</v>
      </c>
      <c r="R187" s="380">
        <f>IF(O187=0,0,J187/O187)</f>
        <v>0</v>
      </c>
      <c r="S187" s="278">
        <f>L187-Q187</f>
        <v>-6127.1100000000006</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3109</v>
      </c>
      <c r="B188" s="24" t="s">
        <v>155</v>
      </c>
      <c r="C188" s="285" t="s">
        <v>160</v>
      </c>
      <c r="D188" s="227"/>
      <c r="E188" s="228"/>
      <c r="F188" s="229">
        <f>IFERROR(F187/E187,0)</f>
        <v>0.21912569401367804</v>
      </c>
      <c r="G188" s="221"/>
      <c r="H188" s="228"/>
      <c r="I188" s="229">
        <f>IFERROR(I187/H187,0)</f>
        <v>0.21912569401367804</v>
      </c>
      <c r="J188" s="230"/>
      <c r="K188" s="231"/>
      <c r="L188" s="229">
        <f>IF(L187=0,0,L187/K187)</f>
        <v>0</v>
      </c>
      <c r="M188" s="230"/>
      <c r="N188" s="232"/>
      <c r="O188" s="230"/>
      <c r="P188" s="231"/>
      <c r="Q188" s="229">
        <f>IF(Q187=0,0,Q187/P187)</f>
        <v>0.25152236649274839</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3117</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3109</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3118</v>
      </c>
      <c r="B193" s="24" t="s">
        <v>155</v>
      </c>
      <c r="C193" s="263" t="s">
        <v>169</v>
      </c>
      <c r="D193" s="26"/>
      <c r="E193" s="26">
        <f t="shared" ref="E193:F193" si="115">E184+E187+E190</f>
        <v>317352.12196554657</v>
      </c>
      <c r="F193" s="28">
        <f t="shared" si="115"/>
        <v>216769.61579651225</v>
      </c>
      <c r="G193" s="29"/>
      <c r="H193" s="26">
        <f t="shared" ref="H193:I193" si="116">H184+H187+H190</f>
        <v>317352.12196554657</v>
      </c>
      <c r="I193" s="28">
        <f t="shared" si="116"/>
        <v>216769.61579651225</v>
      </c>
      <c r="J193" s="29"/>
      <c r="K193" s="26">
        <f>K184+K187+K190</f>
        <v>0</v>
      </c>
      <c r="L193" s="28">
        <f t="shared" ref="L193" si="117">L184+L187+L190</f>
        <v>0</v>
      </c>
      <c r="M193" s="70" t="e">
        <f>L194-I194</f>
        <v>#DIV/0!</v>
      </c>
      <c r="N193" s="28">
        <f>L193-I193</f>
        <v>-216769.61579651225</v>
      </c>
      <c r="O193" s="29"/>
      <c r="P193" s="26">
        <f>P184+P187+P190</f>
        <v>277498.26</v>
      </c>
      <c r="Q193" s="28">
        <f t="shared" ref="Q193" si="118">Q184+Q187+Q190</f>
        <v>199204.03999999998</v>
      </c>
      <c r="R193" s="70" t="e">
        <f>L194-Q194</f>
        <v>#DIV/0!</v>
      </c>
      <c r="S193" s="357">
        <f>L193-Q193</f>
        <v>-199204.03999999998</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0.68305708641219021</v>
      </c>
      <c r="G194" s="31"/>
      <c r="H194" s="359"/>
      <c r="I194" s="34">
        <f>I193/H193</f>
        <v>0.68305708641219021</v>
      </c>
      <c r="J194" s="31"/>
      <c r="K194" s="359"/>
      <c r="L194" s="34" t="e">
        <f>L193/K193</f>
        <v>#DIV/0!</v>
      </c>
      <c r="M194" s="33"/>
      <c r="N194" s="34">
        <f>N193/I193</f>
        <v>-1</v>
      </c>
      <c r="O194" s="31"/>
      <c r="P194" s="359"/>
      <c r="Q194" s="34">
        <f>Q193/P193</f>
        <v>0.71785689755315929</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3119</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3120</v>
      </c>
      <c r="B197" s="24" t="s">
        <v>155</v>
      </c>
      <c r="C197" s="299" t="s">
        <v>112</v>
      </c>
      <c r="D197" s="172"/>
      <c r="E197" s="172"/>
      <c r="F197" s="173">
        <f>+INDEX('Budget original'!$A$2:$AO$500,MATCH($A197,'Budget original'!$A$2:$A$500,0),MATCH(F$2,'Budget original'!$A$2:$AO$2,0))</f>
        <v>11204.70316091954</v>
      </c>
      <c r="G197" s="297"/>
      <c r="H197" s="172"/>
      <c r="I197" s="173">
        <f>+INDEX('Budget révisé'!$A$2:$AO$500,MATCH($A197,'Budget révisé'!$A$2:$A$500,0),MATCH(I$2,'Budget révisé'!$A$2:$AO$2,0))</f>
        <v>11204.70316091954</v>
      </c>
      <c r="J197" s="297"/>
      <c r="K197" s="172"/>
      <c r="L197" s="174">
        <f>SUMIFS(BV_Data_An_Cour!$P:$P,BV_Data_An_Cour!$V:$V,$B197,BV_Data_An_Cour!$W:$W,$C197,BV_Data_An_Cour!$X:$X,$L$2)</f>
        <v>0</v>
      </c>
      <c r="M197" s="297"/>
      <c r="N197" s="298">
        <f t="shared" ref="N197:N208" si="119">L197-I197</f>
        <v>-11204.70316091954</v>
      </c>
      <c r="O197" s="297"/>
      <c r="P197" s="172"/>
      <c r="Q197" s="174">
        <f>SUMIFS(BV_Data_An_Prec!$O:$O,BV_Data_An_Prec!$U:$U,$B197,BV_Data_An_Prec!$V:$V,$C197,BV_Data_An_Prec!$W:$W,$L$2)</f>
        <v>12685.11</v>
      </c>
      <c r="R197" s="297"/>
      <c r="S197" s="393">
        <f>L197-Q197</f>
        <v>-12685.11</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3121</v>
      </c>
      <c r="B198" s="24" t="s">
        <v>155</v>
      </c>
      <c r="C198" s="300" t="s">
        <v>113</v>
      </c>
      <c r="D198" s="295"/>
      <c r="E198" s="172"/>
      <c r="F198" s="171">
        <f>+INDEX('Budget original'!$A$2:$AO$500,MATCH($A198,'Budget original'!$A$2:$A$500,0),MATCH(F$2,'Budget original'!$A$2:$AO$2,0))</f>
        <v>9403.9419058103449</v>
      </c>
      <c r="G198" s="296"/>
      <c r="H198" s="172"/>
      <c r="I198" s="171">
        <f>+INDEX('Budget révisé'!$A$2:$AO$500,MATCH($A198,'Budget révisé'!$A$2:$A$500,0),MATCH(I$2,'Budget révisé'!$A$2:$AO$2,0))</f>
        <v>9403.9419058103449</v>
      </c>
      <c r="J198" s="297"/>
      <c r="K198" s="172"/>
      <c r="L198" s="174">
        <f>SUMIFS(BV_Data_An_Cour!$P:$P,BV_Data_An_Cour!$V:$V,$B198,BV_Data_An_Cour!$W:$W,$C198,BV_Data_An_Cour!$X:$X,$L$2)</f>
        <v>0</v>
      </c>
      <c r="M198" s="297"/>
      <c r="N198" s="298">
        <f t="shared" si="119"/>
        <v>-9403.9419058103449</v>
      </c>
      <c r="O198" s="297"/>
      <c r="P198" s="172"/>
      <c r="Q198" s="174">
        <f>SUMIFS(BV_Data_An_Prec!$O:$O,BV_Data_An_Prec!$U:$U,$B198,BV_Data_An_Prec!$V:$V,$C198,BV_Data_An_Prec!$W:$W,$L$2)</f>
        <v>9498.98</v>
      </c>
      <c r="R198" s="297"/>
      <c r="S198" s="193">
        <f t="shared" ref="S198:S227" si="120">L198-Q198</f>
        <v>-9498.98</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3122</v>
      </c>
      <c r="B199" s="24" t="s">
        <v>155</v>
      </c>
      <c r="C199" s="299" t="s">
        <v>114</v>
      </c>
      <c r="D199" s="386"/>
      <c r="E199" s="346"/>
      <c r="F199" s="173">
        <f>+INDEX('Budget original'!$A$2:$AO$500,MATCH($A199,'Budget original'!$A$2:$A$500,0),MATCH(F$2,'Budget original'!$A$2:$AO$2,0))</f>
        <v>14137.223567494253</v>
      </c>
      <c r="G199" s="387"/>
      <c r="H199" s="346"/>
      <c r="I199" s="173">
        <f>+INDEX('Budget révisé'!$A$2:$AO$500,MATCH($A199,'Budget révisé'!$A$2:$A$500,0),MATCH(I$2,'Budget révisé'!$A$2:$AO$2,0))</f>
        <v>14137.223567494253</v>
      </c>
      <c r="J199" s="362"/>
      <c r="K199" s="346"/>
      <c r="L199" s="239">
        <f>SUMIFS(BV_Data_An_Cour!$P:$P,BV_Data_An_Cour!$V:$V,$B199,BV_Data_An_Cour!$W:$W,$C199,BV_Data_An_Cour!$X:$X,$L$2)</f>
        <v>0</v>
      </c>
      <c r="M199" s="362"/>
      <c r="N199" s="350">
        <f t="shared" si="119"/>
        <v>-14137.223567494253</v>
      </c>
      <c r="O199" s="362"/>
      <c r="P199" s="346"/>
      <c r="Q199" s="175">
        <f>SUMIFS(BV_Data_An_Prec!$O:$O,BV_Data_An_Prec!$U:$U,$B199,BV_Data_An_Prec!$V:$V,$C199,BV_Data_An_Prec!$W:$W,$L$2)</f>
        <v>15297.88</v>
      </c>
      <c r="R199" s="362"/>
      <c r="S199" s="195">
        <f t="shared" si="120"/>
        <v>-15297.88</v>
      </c>
      <c r="T199" s="216"/>
      <c r="U199" s="216" t="s">
        <v>3417</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3123</v>
      </c>
      <c r="B200" s="24" t="s">
        <v>155</v>
      </c>
      <c r="C200" s="299" t="s">
        <v>115</v>
      </c>
      <c r="D200" s="295"/>
      <c r="E200" s="172"/>
      <c r="F200" s="173">
        <f>+INDEX('Budget original'!$A$2:$AO$500,MATCH($A200,'Budget original'!$A$2:$A$500,0),MATCH(F$2,'Budget original'!$A$2:$AO$2,0))</f>
        <v>31876.135925580464</v>
      </c>
      <c r="G200" s="296"/>
      <c r="H200" s="172"/>
      <c r="I200" s="173">
        <f>+INDEX('Budget révisé'!$A$2:$AO$500,MATCH($A200,'Budget révisé'!$A$2:$A$500,0),MATCH(I$2,'Budget révisé'!$A$2:$AO$2,0))</f>
        <v>31876.135925580464</v>
      </c>
      <c r="J200" s="297"/>
      <c r="K200" s="172"/>
      <c r="L200" s="174">
        <f>SUMIFS(BV_Data_An_Cour!$P:$P,BV_Data_An_Cour!$V:$V,$B200,BV_Data_An_Cour!$W:$W,$C200,BV_Data_An_Cour!$X:$X,$L$2)</f>
        <v>0</v>
      </c>
      <c r="M200" s="297"/>
      <c r="N200" s="298">
        <f t="shared" si="119"/>
        <v>-31876.135925580464</v>
      </c>
      <c r="O200" s="297"/>
      <c r="P200" s="172"/>
      <c r="Q200" s="174">
        <f>SUMIFS(BV_Data_An_Prec!$O:$O,BV_Data_An_Prec!$U:$U,$B200,BV_Data_An_Prec!$V:$V,$C200,BV_Data_An_Prec!$W:$W,$L$2)</f>
        <v>34321.269999999997</v>
      </c>
      <c r="R200" s="297"/>
      <c r="S200" s="193">
        <f t="shared" si="120"/>
        <v>-34321.269999999997</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3124</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3124</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3124</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3125</v>
      </c>
      <c r="B204" s="24" t="s">
        <v>155</v>
      </c>
      <c r="C204" s="300" t="s">
        <v>116</v>
      </c>
      <c r="D204" s="295"/>
      <c r="E204" s="172"/>
      <c r="F204" s="173">
        <f>+INDEX('Budget original'!$A$2:$AO$500,MATCH($A204,'Budget original'!$A$2:$A$500,0),MATCH(F$2,'Budget original'!$A$2:$AO$2,0))</f>
        <v>16509.777746744101</v>
      </c>
      <c r="G204" s="296"/>
      <c r="H204" s="172"/>
      <c r="I204" s="173">
        <f>+INDEX('Budget révisé'!$A$2:$AO$500,MATCH($A204,'Budget révisé'!$A$2:$A$500,0),MATCH(I$2,'Budget révisé'!$A$2:$AO$2,0))</f>
        <v>16509.777746744101</v>
      </c>
      <c r="J204" s="297"/>
      <c r="K204" s="172"/>
      <c r="L204" s="174">
        <f>SUMIFS(BV_Data_An_Cour!$P:$P,BV_Data_An_Cour!$V:$V,$B204,BV_Data_An_Cour!$W:$W,$C204,BV_Data_An_Cour!$X:$X,$L$2)</f>
        <v>0</v>
      </c>
      <c r="M204" s="297"/>
      <c r="N204" s="298">
        <f t="shared" si="121"/>
        <v>-16509.777746744101</v>
      </c>
      <c r="O204" s="297"/>
      <c r="P204" s="172"/>
      <c r="Q204" s="174">
        <f>SUMIFS(BV_Data_An_Prec!$O:$O,BV_Data_An_Prec!$U:$U,$B204,BV_Data_An_Prec!$V:$V,$C204,BV_Data_An_Prec!$W:$W,$L$2)</f>
        <v>14004.09</v>
      </c>
      <c r="R204" s="297"/>
      <c r="S204" s="193">
        <f t="shared" si="122"/>
        <v>-14004.09</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3126</v>
      </c>
      <c r="B205" s="24" t="s">
        <v>155</v>
      </c>
      <c r="C205" s="274" t="s">
        <v>117</v>
      </c>
      <c r="D205" s="386"/>
      <c r="E205" s="346"/>
      <c r="F205" s="423">
        <f>+INDEX('Budget original'!$A$2:$AO$500,MATCH($A205,'Budget original'!$A$2:$A$500,0),MATCH(F$2,'Budget original'!$A$2:$AO$2,0))</f>
        <v>14786.19831901607</v>
      </c>
      <c r="G205" s="387"/>
      <c r="H205" s="346"/>
      <c r="I205" s="423">
        <f>+INDEX('Budget révisé'!$A$2:$AO$500,MATCH($A205,'Budget révisé'!$A$2:$A$500,0),MATCH(I$2,'Budget révisé'!$A$2:$AO$2,0))</f>
        <v>14786.19831901607</v>
      </c>
      <c r="J205" s="362"/>
      <c r="K205" s="346"/>
      <c r="L205" s="239">
        <f>SUMIFS(BV_Data_An_Cour!$P:$P,BV_Data_An_Cour!$V:$V,$B205,BV_Data_An_Cour!$W:$W,$C205,BV_Data_An_Cour!$X:$X,$L$2)</f>
        <v>0</v>
      </c>
      <c r="M205" s="362"/>
      <c r="N205" s="350">
        <f t="shared" si="119"/>
        <v>-14786.19831901607</v>
      </c>
      <c r="O205" s="362"/>
      <c r="P205" s="346"/>
      <c r="Q205" s="175">
        <f>SUMIFS(BV_Data_An_Prec!$O:$O,BV_Data_An_Prec!$U:$U,$B205,BV_Data_An_Prec!$V:$V,$C205,BV_Data_An_Prec!$W:$W,$L$2)</f>
        <v>14503.16</v>
      </c>
      <c r="R205" s="362"/>
      <c r="S205" s="195">
        <f t="shared" si="120"/>
        <v>-14503.16</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3127</v>
      </c>
      <c r="B206" s="24" t="s">
        <v>155</v>
      </c>
      <c r="C206" s="274" t="s">
        <v>118</v>
      </c>
      <c r="D206" s="295"/>
      <c r="E206" s="172"/>
      <c r="F206" s="173">
        <f>+INDEX('Budget original'!$A$2:$AO$500,MATCH($A206,'Budget original'!$A$2:$A$500,0),MATCH(F$2,'Budget original'!$A$2:$AO$2,0))</f>
        <v>11741.981018042174</v>
      </c>
      <c r="G206" s="296"/>
      <c r="H206" s="172"/>
      <c r="I206" s="173">
        <f>+INDEX('Budget révisé'!$A$2:$AO$500,MATCH($A206,'Budget révisé'!$A$2:$A$500,0),MATCH(I$2,'Budget révisé'!$A$2:$AO$2,0))</f>
        <v>11741.981018042174</v>
      </c>
      <c r="J206" s="297"/>
      <c r="K206" s="172"/>
      <c r="L206" s="174">
        <f>SUMIFS(BV_Data_An_Cour!$P:$P,BV_Data_An_Cour!$V:$V,$B206,BV_Data_An_Cour!$W:$W,$C206,BV_Data_An_Cour!$X:$X,$L$2)</f>
        <v>0</v>
      </c>
      <c r="M206" s="297"/>
      <c r="N206" s="298">
        <f t="shared" si="119"/>
        <v>-11741.981018042174</v>
      </c>
      <c r="O206" s="297"/>
      <c r="P206" s="172"/>
      <c r="Q206" s="174">
        <f>SUMIFS(BV_Data_An_Prec!$O:$O,BV_Data_An_Prec!$U:$U,$B206,BV_Data_An_Prec!$V:$V,$C206,BV_Data_An_Prec!$W:$W,$L$2)</f>
        <v>10393.93</v>
      </c>
      <c r="R206" s="297"/>
      <c r="S206" s="193">
        <f t="shared" si="120"/>
        <v>-10393.93</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3128</v>
      </c>
      <c r="B207" s="24" t="s">
        <v>155</v>
      </c>
      <c r="C207" s="274" t="s">
        <v>119</v>
      </c>
      <c r="D207" s="295"/>
      <c r="E207" s="172"/>
      <c r="F207" s="173">
        <f>+INDEX('Budget original'!$A$2:$AO$500,MATCH($A207,'Budget original'!$A$2:$A$500,0),MATCH(F$2,'Budget original'!$A$2:$AO$2,0))</f>
        <v>4783.7700443875528</v>
      </c>
      <c r="G207" s="296"/>
      <c r="H207" s="172"/>
      <c r="I207" s="173">
        <f>+INDEX('Budget révisé'!$A$2:$AO$500,MATCH($A207,'Budget révisé'!$A$2:$A$500,0),MATCH(I$2,'Budget révisé'!$A$2:$AO$2,0))</f>
        <v>4783.7700443875528</v>
      </c>
      <c r="J207" s="297"/>
      <c r="K207" s="172"/>
      <c r="L207" s="174">
        <f>SUMIFS(BV_Data_An_Cour!$P:$P,BV_Data_An_Cour!$V:$V,$B207,BV_Data_An_Cour!$W:$W,$C207,BV_Data_An_Cour!$X:$X,$L$2)</f>
        <v>0</v>
      </c>
      <c r="M207" s="297"/>
      <c r="N207" s="298">
        <f t="shared" si="119"/>
        <v>-4783.7700443875528</v>
      </c>
      <c r="O207" s="297"/>
      <c r="P207" s="172"/>
      <c r="Q207" s="174">
        <f>SUMIFS(BV_Data_An_Prec!$O:$O,BV_Data_An_Prec!$U:$U,$B207,BV_Data_An_Prec!$V:$V,$C207,BV_Data_An_Prec!$W:$W,$L$2)</f>
        <v>2417.19</v>
      </c>
      <c r="R207" s="297"/>
      <c r="S207" s="193">
        <f t="shared" si="120"/>
        <v>-2417.19</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3124</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3129</v>
      </c>
      <c r="B209" s="24" t="s">
        <v>155</v>
      </c>
      <c r="C209" s="292" t="s">
        <v>120</v>
      </c>
      <c r="D209" s="39" t="s">
        <v>170</v>
      </c>
      <c r="E209" s="40">
        <f>F209/F$193</f>
        <v>0.52795098274024743</v>
      </c>
      <c r="F209" s="41">
        <f>+SUM(F197:F208)</f>
        <v>114443.7316879945</v>
      </c>
      <c r="G209" s="42" t="s">
        <v>170</v>
      </c>
      <c r="H209" s="40">
        <f>I209/I$193</f>
        <v>0.52795098274024743</v>
      </c>
      <c r="I209" s="41">
        <f>+SUM(I197:I208)</f>
        <v>114443.7316879945</v>
      </c>
      <c r="J209" s="42" t="s">
        <v>170</v>
      </c>
      <c r="K209" s="40" t="e">
        <f>L209/L$193</f>
        <v>#DIV/0!</v>
      </c>
      <c r="L209" s="41">
        <f>+SUM(L197:L208)</f>
        <v>0</v>
      </c>
      <c r="M209" s="43"/>
      <c r="N209" s="46">
        <f t="shared" ref="N209:N227" si="123">L209-I209</f>
        <v>-114443.7316879945</v>
      </c>
      <c r="O209" s="42" t="s">
        <v>170</v>
      </c>
      <c r="P209" s="40">
        <f>Q209/Q$193</f>
        <v>0.56786805127044615</v>
      </c>
      <c r="Q209" s="41">
        <f>+SUM(Q197:Q208)</f>
        <v>113121.60999999999</v>
      </c>
      <c r="R209" s="43"/>
      <c r="S209" s="293">
        <f t="shared" si="120"/>
        <v>-113121.60999999999</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3130</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0</v>
      </c>
      <c r="M210" s="297"/>
      <c r="N210" s="298">
        <f t="shared" si="123"/>
        <v>-6918.7625000000007</v>
      </c>
      <c r="O210" s="297"/>
      <c r="P210" s="172"/>
      <c r="Q210" s="174">
        <f>SUMIFS(BV_Data_An_Prec!$O:$O,BV_Data_An_Prec!$U:$U,$B210,BV_Data_An_Prec!$V:$V,$C210,BV_Data_An_Prec!$W:$W,$L$2)</f>
        <v>7611.59</v>
      </c>
      <c r="R210" s="297"/>
      <c r="S210" s="193">
        <f t="shared" si="120"/>
        <v>-7611.59</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3131</v>
      </c>
      <c r="B211" s="24" t="s">
        <v>155</v>
      </c>
      <c r="C211" s="258" t="s">
        <v>122</v>
      </c>
      <c r="D211" s="295"/>
      <c r="E211" s="172"/>
      <c r="F211" s="173">
        <f>+INDEX('Budget original'!$A$2:$AO$500,MATCH($A211,'Budget original'!$A$2:$A$500,0),MATCH(F$2,'Budget original'!$A$2:$AO$2,0))</f>
        <v>3767.5915137590086</v>
      </c>
      <c r="G211" s="296"/>
      <c r="H211" s="172"/>
      <c r="I211" s="173">
        <f>+INDEX('Budget révisé'!$A$2:$AO$500,MATCH($A211,'Budget révisé'!$A$2:$A$500,0),MATCH(I$2,'Budget révisé'!$A$2:$AO$2,0))</f>
        <v>3767.5915137590086</v>
      </c>
      <c r="J211" s="297"/>
      <c r="K211" s="172"/>
      <c r="L211" s="956">
        <f>SUMIFS(BV_Data_An_Cour!$P:$P,BV_Data_An_Cour!$V:$V,$B211,BV_Data_An_Cour!$W:$W,$C211,BV_Data_An_Cour!$X:$X,$L$2)</f>
        <v>0</v>
      </c>
      <c r="M211" s="297"/>
      <c r="N211" s="298">
        <f t="shared" si="123"/>
        <v>-3767.5915137590086</v>
      </c>
      <c r="O211" s="297"/>
      <c r="P211" s="172"/>
      <c r="Q211" s="174">
        <f>SUMIFS(BV_Data_An_Prec!$O:$O,BV_Data_An_Prec!$U:$U,$B211,BV_Data_An_Prec!$V:$V,$C211,BV_Data_An_Prec!$W:$W,$L$2)</f>
        <v>4454.76</v>
      </c>
      <c r="R211" s="297"/>
      <c r="S211" s="193">
        <f t="shared" si="120"/>
        <v>-4454.76</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3132</v>
      </c>
      <c r="B212" s="24" t="s">
        <v>155</v>
      </c>
      <c r="C212" s="320" t="s">
        <v>123</v>
      </c>
      <c r="D212" s="301"/>
      <c r="E212" s="302"/>
      <c r="F212" s="171">
        <f>+INDEX('Budget original'!$A$2:$AO$500,MATCH($A212,'Budget original'!$A$2:$A$500,0),MATCH(F$2,'Budget original'!$A$2:$AO$2,0))</f>
        <v>16288.804444444444</v>
      </c>
      <c r="G212" s="303"/>
      <c r="H212" s="302"/>
      <c r="I212" s="171">
        <f>+INDEX('Budget révisé'!$A$2:$AO$500,MATCH($A212,'Budget révisé'!$A$2:$A$500,0),MATCH(I$2,'Budget révisé'!$A$2:$AO$2,0))</f>
        <v>16288.804444444444</v>
      </c>
      <c r="J212" s="304"/>
      <c r="K212" s="302"/>
      <c r="L212" s="174">
        <f>SUMIFS(BV_Data_An_Cour!$P:$P,BV_Data_An_Cour!$V:$V,$B212,BV_Data_An_Cour!$W:$W,$C212,BV_Data_An_Cour!$X:$X,$L$2)</f>
        <v>0</v>
      </c>
      <c r="M212" s="304"/>
      <c r="N212" s="305">
        <f t="shared" si="123"/>
        <v>-16288.804444444444</v>
      </c>
      <c r="O212" s="304"/>
      <c r="P212" s="302"/>
      <c r="Q212" s="174">
        <f>SUMIFS(BV_Data_An_Prec!$O:$O,BV_Data_An_Prec!$U:$U,$B212,BV_Data_An_Prec!$V:$V,$C212,BV_Data_An_Prec!$W:$W,$L$2)</f>
        <v>14655.85</v>
      </c>
      <c r="R212" s="304"/>
      <c r="S212" s="196">
        <f t="shared" si="120"/>
        <v>-14655.85</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3133</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0</v>
      </c>
      <c r="M213" s="297"/>
      <c r="N213" s="298">
        <f t="shared" si="123"/>
        <v>-5968.7398199999989</v>
      </c>
      <c r="O213" s="297"/>
      <c r="P213" s="172"/>
      <c r="Q213" s="175">
        <f>SUMIFS(BV_Data_An_Prec!$O:$O,BV_Data_An_Prec!$U:$U,$B213,BV_Data_An_Prec!$V:$V,$C213,BV_Data_An_Prec!$W:$W,$L$2)</f>
        <v>4183.37</v>
      </c>
      <c r="R213" s="297"/>
      <c r="S213" s="193">
        <f t="shared" si="120"/>
        <v>-4183.37</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3134</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0</v>
      </c>
      <c r="M214" s="297"/>
      <c r="N214" s="298">
        <f t="shared" si="123"/>
        <v>-594.10635000000002</v>
      </c>
      <c r="O214" s="297"/>
      <c r="P214" s="172"/>
      <c r="Q214" s="174">
        <f>SUMIFS(BV_Data_An_Prec!$O:$O,BV_Data_An_Prec!$U:$U,$B214,BV_Data_An_Prec!$V:$V,$C214,BV_Data_An_Prec!$W:$W,$L$2)</f>
        <v>1096.8800000000001</v>
      </c>
      <c r="R214" s="297"/>
      <c r="S214" s="193">
        <f t="shared" si="120"/>
        <v>-1096.8800000000001</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3135</v>
      </c>
      <c r="B215" s="24" t="s">
        <v>155</v>
      </c>
      <c r="C215" s="320" t="s">
        <v>126</v>
      </c>
      <c r="D215" s="301"/>
      <c r="E215" s="302"/>
      <c r="F215" s="171">
        <f>+INDEX('Budget original'!$A$2:$AO$500,MATCH($A215,'Budget original'!$A$2:$A$500,0),MATCH(F$2,'Budget original'!$A$2:$AO$2,0))</f>
        <v>2649.0757333333331</v>
      </c>
      <c r="G215" s="303"/>
      <c r="H215" s="302"/>
      <c r="I215" s="171">
        <f>+INDEX('Budget révisé'!$A$2:$AO$500,MATCH($A215,'Budget révisé'!$A$2:$A$500,0),MATCH(I$2,'Budget révisé'!$A$2:$AO$2,0))</f>
        <v>2649.0757333333331</v>
      </c>
      <c r="J215" s="304"/>
      <c r="K215" s="302"/>
      <c r="L215" s="174">
        <f>SUMIFS(BV_Data_An_Cour!$P:$P,BV_Data_An_Cour!$V:$V,$B215,BV_Data_An_Cour!$W:$W,$C215,BV_Data_An_Cour!$X:$X,$L$2)</f>
        <v>0</v>
      </c>
      <c r="M215" s="304"/>
      <c r="N215" s="305">
        <f t="shared" si="123"/>
        <v>-2649.0757333333331</v>
      </c>
      <c r="O215" s="304"/>
      <c r="P215" s="302"/>
      <c r="Q215" s="174">
        <f>SUMIFS(BV_Data_An_Prec!$O:$O,BV_Data_An_Prec!$U:$U,$B215,BV_Data_An_Prec!$V:$V,$C215,BV_Data_An_Prec!$W:$W,$L$2)</f>
        <v>2454.86</v>
      </c>
      <c r="R215" s="304"/>
      <c r="S215" s="196">
        <f t="shared" si="120"/>
        <v>-2454.86</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3136</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3137</v>
      </c>
      <c r="B217" s="24" t="s">
        <v>155</v>
      </c>
      <c r="C217" s="258" t="s">
        <v>127</v>
      </c>
      <c r="D217" s="295"/>
      <c r="E217" s="172"/>
      <c r="F217" s="173">
        <f>+INDEX('Budget original'!$A$2:$AO$500,MATCH($A217,'Budget original'!$A$2:$A$500,0),MATCH(F$2,'Budget original'!$A$2:$AO$2,0))</f>
        <v>1202.6048806860658</v>
      </c>
      <c r="G217" s="296"/>
      <c r="H217" s="172"/>
      <c r="I217" s="173">
        <f>+INDEX('Budget révisé'!$A$2:$AO$500,MATCH($A217,'Budget révisé'!$A$2:$A$500,0),MATCH(I$2,'Budget révisé'!$A$2:$AO$2,0))</f>
        <v>1202.6048806860658</v>
      </c>
      <c r="J217" s="297"/>
      <c r="K217" s="172"/>
      <c r="L217" s="275">
        <f>SUMIFS(BV_Data_An_Cour!$P:$P,BV_Data_An_Cour!$V:$V,$B217,BV_Data_An_Cour!$W:$W,$C217,BV_Data_An_Cour!$X:$X,$L$2)</f>
        <v>0</v>
      </c>
      <c r="M217" s="297"/>
      <c r="N217" s="298">
        <f t="shared" si="123"/>
        <v>-1202.6048806860658</v>
      </c>
      <c r="O217" s="297"/>
      <c r="P217" s="172"/>
      <c r="Q217" s="174">
        <f>SUMIFS(BV_Data_An_Prec!$O:$O,BV_Data_An_Prec!$U:$U,$B217,BV_Data_An_Prec!$V:$V,$C217,BV_Data_An_Prec!$W:$W,$L$2)</f>
        <v>-364.13</v>
      </c>
      <c r="R217" s="297"/>
      <c r="S217" s="193">
        <f t="shared" si="120"/>
        <v>364.13</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3138</v>
      </c>
      <c r="B218" s="24" t="s">
        <v>155</v>
      </c>
      <c r="C218" s="258" t="s">
        <v>128</v>
      </c>
      <c r="D218" s="295"/>
      <c r="E218" s="172"/>
      <c r="F218" s="173">
        <f>+INDEX('Budget original'!$A$2:$AO$500,MATCH($A218,'Budget original'!$A$2:$A$500,0),MATCH(F$2,'Budget original'!$A$2:$AO$2,0))</f>
        <v>639.03261978178375</v>
      </c>
      <c r="G218" s="296"/>
      <c r="H218" s="172"/>
      <c r="I218" s="173">
        <f>+INDEX('Budget révisé'!$A$2:$AO$500,MATCH($A218,'Budget révisé'!$A$2:$A$500,0),MATCH(I$2,'Budget révisé'!$A$2:$AO$2,0))</f>
        <v>639.03261978178375</v>
      </c>
      <c r="J218" s="297"/>
      <c r="K218" s="172"/>
      <c r="L218" s="174">
        <f>SUMIFS(BV_Data_An_Cour!$P:$P,BV_Data_An_Cour!$V:$V,$B218,BV_Data_An_Cour!$W:$W,$C218,BV_Data_An_Cour!$X:$X,$L$2)</f>
        <v>0</v>
      </c>
      <c r="M218" s="297"/>
      <c r="N218" s="298">
        <f t="shared" si="123"/>
        <v>-639.03261978178375</v>
      </c>
      <c r="O218" s="297"/>
      <c r="P218" s="172"/>
      <c r="Q218" s="174">
        <f>SUMIFS(BV_Data_An_Prec!$O:$O,BV_Data_An_Prec!$U:$U,$B218,BV_Data_An_Prec!$V:$V,$C218,BV_Data_An_Prec!$W:$W,$L$2)</f>
        <v>1244</v>
      </c>
      <c r="R218" s="297"/>
      <c r="S218" s="193">
        <f t="shared" si="120"/>
        <v>-1244</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3139</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0</v>
      </c>
      <c r="M219" s="297"/>
      <c r="N219" s="298">
        <f t="shared" si="123"/>
        <v>-489.64823999999999</v>
      </c>
      <c r="O219" s="297"/>
      <c r="P219" s="172"/>
      <c r="Q219" s="548">
        <f>SUMIFS(BV_Data_An_Prec!$O:$O,BV_Data_An_Prec!$U:$U,$B219,BV_Data_An_Prec!$V:$V,$C219,BV_Data_An_Prec!$W:$W,$L$2)</f>
        <v>616.41</v>
      </c>
      <c r="R219" s="297"/>
      <c r="S219" s="193">
        <f t="shared" si="120"/>
        <v>-616.41</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3140</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0</v>
      </c>
      <c r="M220" s="297"/>
      <c r="N220" s="298">
        <f t="shared" si="123"/>
        <v>-226.09839500000001</v>
      </c>
      <c r="O220" s="297"/>
      <c r="P220" s="172"/>
      <c r="Q220" s="174">
        <f>SUMIFS(BV_Data_An_Prec!$O:$O,BV_Data_An_Prec!$U:$U,$B220,BV_Data_An_Prec!$V:$V,$C220,BV_Data_An_Prec!$W:$W,$L$2)</f>
        <v>253.56</v>
      </c>
      <c r="R220" s="297"/>
      <c r="S220" s="193">
        <f t="shared" si="120"/>
        <v>-253.56</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3141</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0</v>
      </c>
      <c r="M221" s="297"/>
      <c r="N221" s="298">
        <f t="shared" si="123"/>
        <v>-120.68780499999997</v>
      </c>
      <c r="O221" s="297"/>
      <c r="P221" s="172"/>
      <c r="Q221" s="174">
        <f>SUMIFS(BV_Data_An_Prec!$O:$O,BV_Data_An_Prec!$U:$U,$B221,BV_Data_An_Prec!$V:$V,$C221,BV_Data_An_Prec!$W:$W,$L$2)</f>
        <v>263.07</v>
      </c>
      <c r="R221" s="297"/>
      <c r="S221" s="193">
        <f t="shared" si="120"/>
        <v>-263.07</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3142</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0</v>
      </c>
      <c r="M222" s="297"/>
      <c r="N222" s="298">
        <f t="shared" si="123"/>
        <v>-582.1751949999998</v>
      </c>
      <c r="O222" s="297"/>
      <c r="P222" s="172"/>
      <c r="Q222" s="174">
        <f>SUMIFS(BV_Data_An_Prec!$O:$O,BV_Data_An_Prec!$U:$U,$B222,BV_Data_An_Prec!$V:$V,$C222,BV_Data_An_Prec!$W:$W,$L$2)</f>
        <v>1018.38</v>
      </c>
      <c r="R222" s="297"/>
      <c r="S222" s="193">
        <f t="shared" si="120"/>
        <v>-1018.38</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3143</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0</v>
      </c>
      <c r="M223" s="297"/>
      <c r="N223" s="298">
        <f t="shared" si="123"/>
        <v>-864.94219999999996</v>
      </c>
      <c r="O223" s="297"/>
      <c r="P223" s="172"/>
      <c r="Q223" s="174">
        <f>SUMIFS(BV_Data_An_Prec!$O:$O,BV_Data_An_Prec!$U:$U,$B223,BV_Data_An_Prec!$V:$V,$C223,BV_Data_An_Prec!$W:$W,$L$2)</f>
        <v>-2759.34</v>
      </c>
      <c r="R223" s="297"/>
      <c r="S223" s="193">
        <f t="shared" si="120"/>
        <v>2759.34</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3144</v>
      </c>
      <c r="B224" s="24" t="s">
        <v>155</v>
      </c>
      <c r="C224" s="258" t="s">
        <v>134</v>
      </c>
      <c r="D224" s="295"/>
      <c r="E224" s="172"/>
      <c r="F224" s="173">
        <f>+INDEX('Budget original'!$A$2:$AO$500,MATCH($A224,'Budget original'!$A$2:$A$500,0),MATCH(F$2,'Budget original'!$A$2:$AO$2,0))</f>
        <v>2240.0675200816145</v>
      </c>
      <c r="G224" s="296"/>
      <c r="H224" s="172"/>
      <c r="I224" s="173">
        <f>+INDEX('Budget révisé'!$A$2:$AO$500,MATCH($A224,'Budget révisé'!$A$2:$A$500,0),MATCH(I$2,'Budget révisé'!$A$2:$AO$2,0))</f>
        <v>2240.0675200816145</v>
      </c>
      <c r="J224" s="297"/>
      <c r="K224" s="172"/>
      <c r="L224" s="275">
        <f>AF447*W5</f>
        <v>0</v>
      </c>
      <c r="M224" s="297"/>
      <c r="N224" s="298">
        <f t="shared" si="123"/>
        <v>-2240.0675200816145</v>
      </c>
      <c r="O224" s="297"/>
      <c r="P224" s="172"/>
      <c r="Q224" s="275">
        <f>AL447*W5</f>
        <v>2050.6837500000001</v>
      </c>
      <c r="R224" s="297"/>
      <c r="S224" s="193">
        <f t="shared" si="120"/>
        <v>-2050.6837500000001</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3124</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3124</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3124</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0.19630212961687091</v>
      </c>
      <c r="F228" s="41">
        <f>+SUM(F210:F227)</f>
        <v>42552.337217086257</v>
      </c>
      <c r="G228" s="42" t="s">
        <v>170</v>
      </c>
      <c r="H228" s="40">
        <f>I228/I$193</f>
        <v>0.19630212961687091</v>
      </c>
      <c r="I228" s="41">
        <f>+SUM(I210:I227)</f>
        <v>42552.337217086257</v>
      </c>
      <c r="J228" s="42" t="s">
        <v>170</v>
      </c>
      <c r="K228" s="40" t="e">
        <f>L228/L$193</f>
        <v>#DIV/0!</v>
      </c>
      <c r="L228" s="41">
        <f>+SUM(L210:L227)</f>
        <v>0</v>
      </c>
      <c r="M228" s="44"/>
      <c r="N228" s="41">
        <f t="shared" ref="N228" si="128">L228-I228</f>
        <v>-42552.337217086257</v>
      </c>
      <c r="O228" s="42" t="s">
        <v>170</v>
      </c>
      <c r="P228" s="40">
        <f>Q228/Q$193</f>
        <v>0.18463452724151577</v>
      </c>
      <c r="Q228" s="41">
        <f>+SUM(Q210:Q227)</f>
        <v>36779.943749999991</v>
      </c>
      <c r="R228" s="44"/>
      <c r="S228" s="310">
        <f t="shared" ref="S228" si="129">L228-Q228</f>
        <v>-36779.943749999991</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0.72425311235711831</v>
      </c>
      <c r="F230" s="41">
        <f>F209+F228</f>
        <v>156996.06890508076</v>
      </c>
      <c r="G230" s="42" t="s">
        <v>111</v>
      </c>
      <c r="H230" s="40">
        <f>I230/I$193</f>
        <v>0.72425311235711831</v>
      </c>
      <c r="I230" s="41">
        <f>I209+I228</f>
        <v>156996.06890508076</v>
      </c>
      <c r="J230" s="42" t="s">
        <v>111</v>
      </c>
      <c r="K230" s="40" t="e">
        <f>L230/L$193</f>
        <v>#DIV/0!</v>
      </c>
      <c r="L230" s="41">
        <f>L209+L228</f>
        <v>0</v>
      </c>
      <c r="M230" s="44"/>
      <c r="N230" s="46">
        <f t="shared" ref="N230:N231" si="130">L230-I230</f>
        <v>-156996.06890508076</v>
      </c>
      <c r="O230" s="42" t="s">
        <v>111</v>
      </c>
      <c r="P230" s="40">
        <f>Q230/Q$193</f>
        <v>0.75250257851196178</v>
      </c>
      <c r="Q230" s="41">
        <f>Q209+Q228</f>
        <v>149901.55374999996</v>
      </c>
      <c r="R230" s="44"/>
      <c r="S230" s="293">
        <f>L230-Q230</f>
        <v>-149901.55374999996</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59773.546891431499</v>
      </c>
      <c r="G232" s="338"/>
      <c r="H232" s="336"/>
      <c r="I232" s="337">
        <f>I193-I230</f>
        <v>59773.546891431499</v>
      </c>
      <c r="J232" s="339"/>
      <c r="K232" s="340"/>
      <c r="L232" s="337">
        <f>L193-L230</f>
        <v>0</v>
      </c>
      <c r="M232" s="339"/>
      <c r="N232" s="337">
        <f>L232-I232</f>
        <v>-59773.546891431499</v>
      </c>
      <c r="O232" s="339"/>
      <c r="P232" s="340"/>
      <c r="Q232" s="337">
        <f>Q193-Q230</f>
        <v>49302.486250000016</v>
      </c>
      <c r="R232" s="339"/>
      <c r="S232" s="341">
        <f>L232-Q232</f>
        <v>-49302.486250000016</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91" t="str">
        <f>C1</f>
        <v>Volks</v>
      </c>
      <c r="D235" s="19"/>
      <c r="E235" s="19"/>
      <c r="F235" s="19"/>
      <c r="G235" s="19"/>
      <c r="H235" s="18"/>
      <c r="I235" s="18"/>
      <c r="J235" s="18"/>
      <c r="K235" s="5" t="s">
        <v>171</v>
      </c>
      <c r="L235" s="19"/>
      <c r="M235" s="19"/>
      <c r="N235" s="18"/>
      <c r="O235" s="18"/>
      <c r="P235" s="19"/>
      <c r="Q235" s="18"/>
      <c r="R235" s="19"/>
      <c r="S235" s="6" t="str">
        <f>$S$1</f>
        <v>Réalisé, Octobre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21" t="s">
        <v>77</v>
      </c>
      <c r="E237" s="1422"/>
      <c r="F237" s="1423"/>
      <c r="G237" s="1424" t="s">
        <v>145</v>
      </c>
      <c r="H237" s="1422"/>
      <c r="I237" s="1423"/>
      <c r="J237" s="1424" t="s">
        <v>79</v>
      </c>
      <c r="K237" s="1422"/>
      <c r="L237" s="1423"/>
      <c r="M237" s="1424" t="s">
        <v>80</v>
      </c>
      <c r="N237" s="1423"/>
      <c r="O237" s="1421" t="s">
        <v>81</v>
      </c>
      <c r="P237" s="1422"/>
      <c r="Q237" s="1423"/>
      <c r="R237" s="1424" t="s">
        <v>82</v>
      </c>
      <c r="S237" s="1425"/>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3145</v>
      </c>
      <c r="B240" s="24" t="s">
        <v>171</v>
      </c>
      <c r="C240" s="544" t="s">
        <v>172</v>
      </c>
      <c r="D240" s="260">
        <f>+INDEX('Budget original'!$A$2:$AO$500,MATCH($A240,'Budget original'!$A$2:$A$500,0),MATCH(D$2,'Budget original'!$A$2:$AO$2,0))</f>
        <v>0</v>
      </c>
      <c r="E240" s="191">
        <f>+INDEX('Budget original'!$A$2:$AO$500,MATCH($A240,'Budget original'!$A$2:$A$500,0),MATCH(E$2,'Budget original'!$A$2:$AO$2,0))</f>
        <v>91369.623012276861</v>
      </c>
      <c r="F240" s="191">
        <f>+INDEX('Budget original'!$A$2:$AO$500,MATCH($A240,'Budget original'!$A$2:$A$500,0),MATCH(F$2,'Budget original'!$A$2:$AO$2,0))</f>
        <v>20211.047156480556</v>
      </c>
      <c r="G240" s="342">
        <f>+INDEX('Budget révisé'!$A$2:$AO$500,MATCH($A240,'Budget révisé'!$A$2:$A$500,0),MATCH(G$2,'Budget révisé'!$A$2:$AO$2,0))</f>
        <v>0</v>
      </c>
      <c r="H240" s="191">
        <f>+INDEX('Budget révisé'!$A$2:$AO$500,MATCH($A240,'Budget révisé'!$A$2:$A$500,0),MATCH(H$2,'Budget révisé'!$A$2:$AO$2,0))</f>
        <v>91369.623012276861</v>
      </c>
      <c r="I240" s="191">
        <f>+INDEX('Budget révisé'!$A$2:$AO$500,MATCH($A240,'Budget révisé'!$A$2:$A$500,0),MATCH(I$2,'Budget révisé'!$A$2:$AO$2,0))</f>
        <v>20211.047156480556</v>
      </c>
      <c r="J240" s="319">
        <f>-SUMIFS(BV_Data_An_Cour!$P:$P,BV_Data_An_Cour!$V:$V,$B240,BV_Data_An_Cour!$W:$W,$C240,BV_Data_An_Cour!$X:$X,J$2)</f>
        <v>0</v>
      </c>
      <c r="K240" s="173">
        <f>-SUMIFS(BV_Data_An_Cour!$P:$P,BV_Data_An_Cour!$Y:$Y,"Oui",BV_Data_An_Cour!$V:$V,$B240,BV_Data_An_Cour!$W:$W,$C240)</f>
        <v>0</v>
      </c>
      <c r="L240" s="174">
        <f>-SUMIFS(BV_Data_An_Cour!$P:$P,BV_Data_An_Cour!$V:$V,$B240,BV_Data_An_Cour!$W:$W,$C240,BV_Data_An_Cour!$X:$X,$L$2)</f>
        <v>0</v>
      </c>
      <c r="M240" s="318">
        <f>IFERROR((K240-H240)/H240,0)</f>
        <v>-1</v>
      </c>
      <c r="N240" s="298">
        <f>L240-I240</f>
        <v>-20211.047156480556</v>
      </c>
      <c r="O240" s="319">
        <f>-SUMIFS(BV_Data_An_Prec!$O:$O,BV_Data_An_Prec!$U:$U,$B240,BV_Data_An_Prec!$V:$V,$C240,BV_Data_An_Prec!$W:$W,O$2)</f>
        <v>60</v>
      </c>
      <c r="P240" s="173">
        <f>-SUMIFS(BV_Data_An_Prec!$O:$O,BV_Data_An_Prec!$X:$X,"Oui",BV_Data_An_Prec!$U:$U,$B240,BV_Data_An_Prec!$V:$V,$C240)</f>
        <v>100201.32</v>
      </c>
      <c r="Q240" s="174">
        <f>-SUMIFS(BV_Data_An_Prec!$O:$O,BV_Data_An_Prec!$U:$U,$B240,BV_Data_An_Prec!$V:$V,$C240,BV_Data_An_Prec!$W:$W,$L$2)</f>
        <v>23287.090000000004</v>
      </c>
      <c r="R240" s="318">
        <f>IF(O240=0,0,J240/O240)</f>
        <v>0</v>
      </c>
      <c r="S240" s="193">
        <f>L240-Q240</f>
        <v>-23287.090000000004</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3146</v>
      </c>
      <c r="B241" s="24" t="s">
        <v>171</v>
      </c>
      <c r="C241" s="258" t="s">
        <v>160</v>
      </c>
      <c r="D241" s="260"/>
      <c r="E241" s="343"/>
      <c r="F241" s="344">
        <f>IFERROR(F240/E240,0)</f>
        <v>0.2212009472093904</v>
      </c>
      <c r="G241" s="297"/>
      <c r="H241" s="343"/>
      <c r="I241" s="344">
        <f>IFERROR(I240/H240,0)</f>
        <v>0.2212009472093904</v>
      </c>
      <c r="J241" s="319"/>
      <c r="K241" s="172"/>
      <c r="L241" s="344">
        <f>IFERROR(L240/K240,0)</f>
        <v>0</v>
      </c>
      <c r="M241" s="318"/>
      <c r="N241" s="298">
        <f>IFERROR(N240/M240,0)</f>
        <v>20211.047156480556</v>
      </c>
      <c r="O241" s="319"/>
      <c r="P241" s="172"/>
      <c r="Q241" s="344">
        <f>IFERROR(Q240/P240,0)</f>
        <v>0.23240302622759862</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3147</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3146</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3148</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3146</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3149</v>
      </c>
      <c r="B249" s="24" t="s">
        <v>171</v>
      </c>
      <c r="C249" s="263" t="s">
        <v>169</v>
      </c>
      <c r="D249" s="26"/>
      <c r="E249" s="26">
        <f t="shared" ref="E249:F249" si="131">E243+E246+E240</f>
        <v>91369.623012276861</v>
      </c>
      <c r="F249" s="28">
        <f t="shared" si="131"/>
        <v>20211.047156480556</v>
      </c>
      <c r="G249" s="29"/>
      <c r="H249" s="26">
        <f t="shared" ref="H249:I249" si="132">H243+H246+H240</f>
        <v>91369.623012276861</v>
      </c>
      <c r="I249" s="28">
        <f t="shared" si="132"/>
        <v>20211.047156480556</v>
      </c>
      <c r="J249" s="29"/>
      <c r="K249" s="26">
        <f t="shared" ref="K249:L249" si="133">K243+K246+K240</f>
        <v>0</v>
      </c>
      <c r="L249" s="28">
        <f t="shared" si="133"/>
        <v>0</v>
      </c>
      <c r="M249" s="70">
        <f>L250-I250</f>
        <v>-0.2212009472093904</v>
      </c>
      <c r="N249" s="28">
        <f>L249-I249</f>
        <v>-20211.047156480556</v>
      </c>
      <c r="O249" s="29"/>
      <c r="P249" s="26">
        <f t="shared" ref="P249:Q249" si="134">P243+P246+P240</f>
        <v>100201.32</v>
      </c>
      <c r="Q249" s="28">
        <f t="shared" si="134"/>
        <v>23287.090000000004</v>
      </c>
      <c r="R249" s="1208">
        <f>L250-Q250</f>
        <v>-0.23240302622759862</v>
      </c>
      <c r="S249" s="357">
        <f>L249-Q249</f>
        <v>-23287.090000000004</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v>
      </c>
      <c r="G250" s="31"/>
      <c r="H250" s="359"/>
      <c r="I250" s="34">
        <f>I249/H249</f>
        <v>0.2212009472093904</v>
      </c>
      <c r="J250" s="31"/>
      <c r="K250" s="359"/>
      <c r="L250" s="34">
        <f>IF(K249=0,0,L249/K249)</f>
        <v>0</v>
      </c>
      <c r="M250" s="33"/>
      <c r="N250" s="34">
        <f>N249/I249</f>
        <v>-1</v>
      </c>
      <c r="O250" s="31"/>
      <c r="P250" s="359"/>
      <c r="Q250" s="34">
        <f>IF(P249=0,0,Q249/P249)</f>
        <v>0.23240302622759862</v>
      </c>
      <c r="R250" s="33"/>
      <c r="S250" s="1366">
        <f>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3150</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3151</v>
      </c>
      <c r="B253" s="24" t="s">
        <v>171</v>
      </c>
      <c r="C253" s="274" t="s">
        <v>112</v>
      </c>
      <c r="D253" s="227"/>
      <c r="E253" s="227"/>
      <c r="F253" s="225">
        <f>+INDEX('Budget original'!$A$2:$AO$500,MATCH($A253,'Budget original'!$A$2:$A$500,0),MATCH(F$2,'Budget original'!$A$2:$AO$2,0))</f>
        <v>310.99511494252874</v>
      </c>
      <c r="G253" s="221"/>
      <c r="H253" s="227"/>
      <c r="I253" s="225">
        <f>+INDEX('Budget révisé'!$A$2:$AO$500,MATCH($A253,'Budget révisé'!$A$2:$A$500,0),MATCH(I$2,'Budget révisé'!$A$2:$AO$2,0))</f>
        <v>310.99511494252874</v>
      </c>
      <c r="J253" s="221"/>
      <c r="K253" s="227"/>
      <c r="L253" s="275">
        <f>SUMIFS(BV_Data_An_Cour!$P:$P,BV_Data_An_Cour!$V:$V,$B253,BV_Data_An_Cour!$W:$W,$C253,BV_Data_An_Cour!$X:$X,$L$2)</f>
        <v>0</v>
      </c>
      <c r="M253" s="221"/>
      <c r="N253" s="226">
        <f t="shared" ref="N253:N283" si="135">L253-I253</f>
        <v>-310.99511494252874</v>
      </c>
      <c r="O253" s="221"/>
      <c r="P253" s="227"/>
      <c r="Q253" s="275">
        <f>SUMIFS(BV_Data_An_Prec!$O:$O,BV_Data_An_Prec!$U:$U,$B253,BV_Data_An_Prec!$V:$V,$C253,BV_Data_An_Prec!$W:$W,$L$2)</f>
        <v>809.12</v>
      </c>
      <c r="R253" s="221"/>
      <c r="S253" s="506">
        <f>L253-Q253</f>
        <v>-809.12</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3152</v>
      </c>
      <c r="B254" s="24" t="s">
        <v>171</v>
      </c>
      <c r="C254" s="276" t="s">
        <v>113</v>
      </c>
      <c r="D254" s="256"/>
      <c r="E254" s="227"/>
      <c r="F254" s="238">
        <f>+INDEX('Budget original'!$A$2:$AO$500,MATCH($A254,'Budget original'!$A$2:$A$500,0),MATCH(F$2,'Budget original'!$A$2:$AO$2,0))</f>
        <v>521.45033666091956</v>
      </c>
      <c r="G254" s="277"/>
      <c r="H254" s="227"/>
      <c r="I254" s="238">
        <f>+INDEX('Budget révisé'!$A$2:$AO$500,MATCH($A254,'Budget révisé'!$A$2:$A$500,0),MATCH(I$2,'Budget révisé'!$A$2:$AO$2,0))</f>
        <v>521.45033666091956</v>
      </c>
      <c r="J254" s="221"/>
      <c r="K254" s="227"/>
      <c r="L254" s="275">
        <f>SUMIFS(BV_Data_An_Cour!$P:$P,BV_Data_An_Cour!$V:$V,$B254,BV_Data_An_Cour!$W:$W,$C254,BV_Data_An_Cour!$X:$X,$L$2)</f>
        <v>0</v>
      </c>
      <c r="M254" s="221"/>
      <c r="N254" s="226">
        <f t="shared" si="135"/>
        <v>-521.45033666091956</v>
      </c>
      <c r="O254" s="221"/>
      <c r="P254" s="227"/>
      <c r="Q254" s="275">
        <f>SUMIFS(BV_Data_An_Prec!$O:$O,BV_Data_An_Prec!$U:$U,$B254,BV_Data_An_Prec!$V:$V,$C254,BV_Data_An_Prec!$W:$W,$L$2)</f>
        <v>510.52</v>
      </c>
      <c r="R254" s="221"/>
      <c r="S254" s="278">
        <f>L254-Q254</f>
        <v>-510.52</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3153</v>
      </c>
      <c r="B255" s="24" t="s">
        <v>171</v>
      </c>
      <c r="C255" s="274" t="s">
        <v>114</v>
      </c>
      <c r="D255" s="279"/>
      <c r="E255" s="280"/>
      <c r="F255" s="225">
        <f>+INDEX('Budget original'!$A$2:$AO$500,MATCH($A255,'Budget original'!$A$2:$A$500,0),MATCH(F$2,'Budget original'!$A$2:$AO$2,0))</f>
        <v>448.55861963218388</v>
      </c>
      <c r="G255" s="281"/>
      <c r="H255" s="280"/>
      <c r="I255" s="225">
        <f>+INDEX('Budget révisé'!$A$2:$AO$500,MATCH($A255,'Budget révisé'!$A$2:$A$500,0),MATCH(I$2,'Budget révisé'!$A$2:$AO$2,0))</f>
        <v>448.55861963218388</v>
      </c>
      <c r="J255" s="282"/>
      <c r="K255" s="280"/>
      <c r="L255" s="239">
        <f>SUMIFS(BV_Data_An_Cour!$P:$P,BV_Data_An_Cour!$V:$V,$B255,BV_Data_An_Cour!$W:$W,$C255,BV_Data_An_Cour!$X:$X,$L$2)</f>
        <v>0</v>
      </c>
      <c r="M255" s="282"/>
      <c r="N255" s="283">
        <f t="shared" si="135"/>
        <v>-448.55861963218388</v>
      </c>
      <c r="O255" s="282"/>
      <c r="P255" s="280"/>
      <c r="Q255" s="239">
        <f>SUMIFS(BV_Data_An_Prec!$O:$O,BV_Data_An_Prec!$U:$U,$B255,BV_Data_An_Prec!$V:$V,$C255,BV_Data_An_Prec!$W:$W,$L$2)</f>
        <v>3575.35</v>
      </c>
      <c r="R255" s="282"/>
      <c r="S255" s="284">
        <f t="shared" ref="S255:S264" si="136">L255-Q255</f>
        <v>-3575.35</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3154</v>
      </c>
      <c r="B256" s="24" t="s">
        <v>171</v>
      </c>
      <c r="C256" s="274" t="s">
        <v>115</v>
      </c>
      <c r="D256" s="256"/>
      <c r="E256" s="227"/>
      <c r="F256" s="225">
        <f>+INDEX('Budget original'!$A$2:$AO$500,MATCH($A256,'Budget original'!$A$2:$A$500,0),MATCH(F$2,'Budget original'!$A$2:$AO$2,0))</f>
        <v>4120.6896551724139</v>
      </c>
      <c r="G256" s="277"/>
      <c r="H256" s="227"/>
      <c r="I256" s="225">
        <f>+INDEX('Budget révisé'!$A$2:$AO$500,MATCH($A256,'Budget révisé'!$A$2:$A$500,0),MATCH(I$2,'Budget révisé'!$A$2:$AO$2,0))</f>
        <v>4120.6896551724139</v>
      </c>
      <c r="J256" s="221"/>
      <c r="K256" s="227"/>
      <c r="L256" s="275">
        <f>SUMIFS(BV_Data_An_Cour!$P:$P,BV_Data_An_Cour!$V:$V,$B256,BV_Data_An_Cour!$W:$W,$C256,BV_Data_An_Cour!$X:$X,$L$2)</f>
        <v>0</v>
      </c>
      <c r="M256" s="221"/>
      <c r="N256" s="226">
        <f t="shared" si="135"/>
        <v>-4120.6896551724139</v>
      </c>
      <c r="O256" s="221"/>
      <c r="P256" s="227"/>
      <c r="Q256" s="275">
        <f>SUMIFS(BV_Data_An_Prec!$O:$O,BV_Data_An_Prec!$U:$U,$B256,BV_Data_An_Prec!$V:$V,$C256,BV_Data_An_Prec!$W:$W,$L$2)</f>
        <v>2423.11</v>
      </c>
      <c r="R256" s="221"/>
      <c r="S256" s="278">
        <f t="shared" si="136"/>
        <v>-2423.11</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3155</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3155</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3155</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3156</v>
      </c>
      <c r="B260" s="24" t="s">
        <v>171</v>
      </c>
      <c r="C260" s="276" t="s">
        <v>116</v>
      </c>
      <c r="D260" s="256"/>
      <c r="E260" s="227"/>
      <c r="F260" s="238">
        <f>+INDEX('Budget original'!$A$2:$AO$500,MATCH($A260,'Budget original'!$A$2:$A$500,0),MATCH(F$2,'Budget original'!$A$2:$AO$2,0))</f>
        <v>658.03102564768926</v>
      </c>
      <c r="G260" s="277"/>
      <c r="H260" s="227"/>
      <c r="I260" s="238">
        <f>+INDEX('Budget révisé'!$A$2:$AO$500,MATCH($A260,'Budget révisé'!$A$2:$A$500,0),MATCH(I$2,'Budget révisé'!$A$2:$AO$2,0))</f>
        <v>658.03102564768926</v>
      </c>
      <c r="J260" s="221"/>
      <c r="K260" s="227"/>
      <c r="L260" s="275">
        <f>SUMIFS(BV_Data_An_Cour!$P:$P,BV_Data_An_Cour!$V:$V,$B260,BV_Data_An_Cour!$W:$W,$C260,BV_Data_An_Cour!$X:$X,$L$2)</f>
        <v>0</v>
      </c>
      <c r="M260" s="221"/>
      <c r="N260" s="226">
        <f t="shared" si="135"/>
        <v>-658.03102564768926</v>
      </c>
      <c r="O260" s="221"/>
      <c r="P260" s="227"/>
      <c r="Q260" s="275">
        <f>SUMIFS(BV_Data_An_Prec!$O:$O,BV_Data_An_Prec!$U:$U,$B260,BV_Data_An_Prec!$V:$V,$C260,BV_Data_An_Prec!$W:$W,$L$2)</f>
        <v>287.33</v>
      </c>
      <c r="R260" s="221"/>
      <c r="S260" s="278">
        <f t="shared" si="136"/>
        <v>-287.33</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3157</v>
      </c>
      <c r="B261" s="24" t="s">
        <v>171</v>
      </c>
      <c r="C261" s="274" t="s">
        <v>117</v>
      </c>
      <c r="D261" s="279"/>
      <c r="E261" s="280"/>
      <c r="F261" s="225">
        <f>+INDEX('Budget original'!$A$2:$AO$500,MATCH($A261,'Budget original'!$A$2:$A$500,0),MATCH(F$2,'Budget original'!$A$2:$AO$2,0))</f>
        <v>589.33423541762068</v>
      </c>
      <c r="G261" s="281"/>
      <c r="H261" s="280"/>
      <c r="I261" s="225">
        <f>+INDEX('Budget révisé'!$A$2:$AO$500,MATCH($A261,'Budget révisé'!$A$2:$A$500,0),MATCH(I$2,'Budget révisé'!$A$2:$AO$2,0))</f>
        <v>589.33423541762068</v>
      </c>
      <c r="J261" s="282"/>
      <c r="K261" s="280"/>
      <c r="L261" s="239">
        <f>SUMIFS(BV_Data_An_Cour!$P:$P,BV_Data_An_Cour!$V:$V,$B261,BV_Data_An_Cour!$W:$W,$C261,BV_Data_An_Cour!$X:$X,$L$2)</f>
        <v>0</v>
      </c>
      <c r="M261" s="282"/>
      <c r="N261" s="283">
        <f t="shared" si="135"/>
        <v>-589.33423541762068</v>
      </c>
      <c r="O261" s="282"/>
      <c r="P261" s="280"/>
      <c r="Q261" s="239">
        <f>SUMIFS(BV_Data_An_Prec!$O:$O,BV_Data_An_Prec!$U:$U,$B261,BV_Data_An_Prec!$V:$V,$C261,BV_Data_An_Prec!$W:$W,$L$2)</f>
        <v>669.77</v>
      </c>
      <c r="R261" s="282"/>
      <c r="S261" s="284">
        <f t="shared" si="136"/>
        <v>-669.77</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3158</v>
      </c>
      <c r="B262" s="24" t="s">
        <v>171</v>
      </c>
      <c r="C262" s="274" t="s">
        <v>118</v>
      </c>
      <c r="D262" s="256"/>
      <c r="E262" s="227"/>
      <c r="F262" s="225">
        <f>+INDEX('Budget original'!$A$2:$AO$500,MATCH($A262,'Budget original'!$A$2:$A$500,0),MATCH(F$2,'Budget original'!$A$2:$AO$2,0))</f>
        <v>468.00071636105173</v>
      </c>
      <c r="G262" s="277"/>
      <c r="H262" s="227"/>
      <c r="I262" s="225">
        <f>+INDEX('Budget révisé'!$A$2:$AO$500,MATCH($A262,'Budget révisé'!$A$2:$A$500,0),MATCH(I$2,'Budget révisé'!$A$2:$AO$2,0))</f>
        <v>468.00071636105173</v>
      </c>
      <c r="J262" s="221"/>
      <c r="K262" s="227"/>
      <c r="L262" s="275">
        <f>SUMIFS(BV_Data_An_Cour!$P:$P,BV_Data_An_Cour!$V:$V,$B262,BV_Data_An_Cour!$W:$W,$C262,BV_Data_An_Cour!$X:$X,$L$2)</f>
        <v>0</v>
      </c>
      <c r="M262" s="221"/>
      <c r="N262" s="226">
        <f t="shared" si="135"/>
        <v>-468.00071636105173</v>
      </c>
      <c r="O262" s="221"/>
      <c r="P262" s="227"/>
      <c r="Q262" s="275">
        <f>SUMIFS(BV_Data_An_Prec!$O:$O,BV_Data_An_Prec!$U:$U,$B262,BV_Data_An_Prec!$V:$V,$C262,BV_Data_An_Prec!$W:$W,$L$2)</f>
        <v>480</v>
      </c>
      <c r="R262" s="221"/>
      <c r="S262" s="278">
        <f t="shared" si="136"/>
        <v>-480</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3159</v>
      </c>
      <c r="B263" s="24" t="s">
        <v>171</v>
      </c>
      <c r="C263" s="274" t="s">
        <v>119</v>
      </c>
      <c r="D263" s="256"/>
      <c r="E263" s="227"/>
      <c r="F263" s="225">
        <f>+INDEX('Budget original'!$A$2:$AO$500,MATCH($A263,'Budget original'!$A$2:$A$500,0),MATCH(F$2,'Budget original'!$A$2:$AO$2,0))</f>
        <v>190.66695851746553</v>
      </c>
      <c r="G263" s="277"/>
      <c r="H263" s="227"/>
      <c r="I263" s="225">
        <f>+INDEX('Budget révisé'!$A$2:$AO$500,MATCH($A263,'Budget révisé'!$A$2:$A$500,0),MATCH(I$2,'Budget révisé'!$A$2:$AO$2,0))</f>
        <v>190.66695851746553</v>
      </c>
      <c r="J263" s="221"/>
      <c r="K263" s="227"/>
      <c r="L263" s="275">
        <f>SUMIFS(BV_Data_An_Cour!$P:$P,BV_Data_An_Cour!$V:$V,$B263,BV_Data_An_Cour!$W:$W,$C263,BV_Data_An_Cour!$X:$X,$L$2)</f>
        <v>0</v>
      </c>
      <c r="M263" s="221"/>
      <c r="N263" s="226">
        <f t="shared" si="135"/>
        <v>-190.66695851746553</v>
      </c>
      <c r="O263" s="221"/>
      <c r="P263" s="227"/>
      <c r="Q263" s="275">
        <f>SUMIFS(BV_Data_An_Prec!$O:$O,BV_Data_An_Prec!$U:$U,$B263,BV_Data_An_Prec!$V:$V,$C263,BV_Data_An_Prec!$W:$W,$L$2)</f>
        <v>111.63</v>
      </c>
      <c r="R263" s="221"/>
      <c r="S263" s="278">
        <f t="shared" si="136"/>
        <v>-111.63</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3155</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3160</v>
      </c>
      <c r="B265" s="24" t="s">
        <v>171</v>
      </c>
      <c r="C265" s="292" t="s">
        <v>120</v>
      </c>
      <c r="D265" s="39" t="s">
        <v>111</v>
      </c>
      <c r="E265" s="40" t="e">
        <f>F265/F$243</f>
        <v>#DIV/0!</v>
      </c>
      <c r="F265" s="41">
        <f>+SUM(F253:F264)</f>
        <v>7307.7266623518735</v>
      </c>
      <c r="G265" s="42" t="s">
        <v>111</v>
      </c>
      <c r="H265" s="40" t="e">
        <f>I265/I$243</f>
        <v>#DIV/0!</v>
      </c>
      <c r="I265" s="41">
        <f>+SUM(I253:I264)</f>
        <v>7307.7266623518735</v>
      </c>
      <c r="J265" s="42" t="s">
        <v>111</v>
      </c>
      <c r="K265" s="40">
        <f>IF(L243=0,0,L265/L$243)</f>
        <v>0</v>
      </c>
      <c r="L265" s="41">
        <f>+SUM(L253:L264)</f>
        <v>0</v>
      </c>
      <c r="M265" s="43"/>
      <c r="N265" s="46">
        <f t="shared" si="135"/>
        <v>-7307.7266623518735</v>
      </c>
      <c r="O265" s="42" t="s">
        <v>111</v>
      </c>
      <c r="P265" s="40">
        <f>IF(Q243=0,0,Q265/Q$243)</f>
        <v>0</v>
      </c>
      <c r="Q265" s="41">
        <f>+SUM(Q253:Q264)</f>
        <v>8866.83</v>
      </c>
      <c r="R265" s="43"/>
      <c r="S265" s="293">
        <f t="shared" ref="S265:S283" si="137">L265-Q265</f>
        <v>-8866.83</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3161</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0</v>
      </c>
      <c r="M266" s="297"/>
      <c r="N266" s="298">
        <f t="shared" si="135"/>
        <v>0</v>
      </c>
      <c r="O266" s="297"/>
      <c r="P266" s="172"/>
      <c r="Q266" s="275">
        <f>SUMIFS(BV_Data_An_Prec!$O:$O,BV_Data_An_Prec!$U:$U,$B266,BV_Data_An_Prec!$V:$V,$C266,BV_Data_An_Prec!$W:$W,$L$2)</f>
        <v>58.5</v>
      </c>
      <c r="R266" s="297"/>
      <c r="S266" s="193">
        <f t="shared" si="137"/>
        <v>-58.5</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3162</v>
      </c>
      <c r="B267" s="24" t="s">
        <v>171</v>
      </c>
      <c r="C267" s="299" t="s">
        <v>122</v>
      </c>
      <c r="D267" s="295"/>
      <c r="E267" s="172"/>
      <c r="F267" s="173">
        <f>+INDEX('Budget original'!$A$2:$AO$500,MATCH($A267,'Budget original'!$A$2:$A$500,0),MATCH(F$2,'Budget original'!$A$2:$AO$2,0))</f>
        <v>317.18715876506633</v>
      </c>
      <c r="G267" s="296"/>
      <c r="H267" s="172"/>
      <c r="I267" s="173">
        <f>+INDEX('Budget révisé'!$A$2:$AO$500,MATCH($A267,'Budget révisé'!$A$2:$A$500,0),MATCH(I$2,'Budget révisé'!$A$2:$AO$2,0))</f>
        <v>317.18715876506633</v>
      </c>
      <c r="J267" s="297"/>
      <c r="K267" s="172"/>
      <c r="L267" s="174">
        <f>SUMIFS(BV_Data_An_Cour!$P:$P,BV_Data_An_Cour!$V:$V,$B267,BV_Data_An_Cour!$W:$W,$C267,BV_Data_An_Cour!$X:$X,$L$2)</f>
        <v>0</v>
      </c>
      <c r="M267" s="297"/>
      <c r="N267" s="298">
        <f t="shared" si="135"/>
        <v>-317.18715876506633</v>
      </c>
      <c r="O267" s="297"/>
      <c r="P267" s="172"/>
      <c r="Q267" s="174">
        <f>SUMIFS(BV_Data_An_Prec!$O:$O,BV_Data_An_Prec!$U:$U,$B267,BV_Data_An_Prec!$V:$V,$C267,BV_Data_An_Prec!$W:$W,$L$2)</f>
        <v>858.64</v>
      </c>
      <c r="R267" s="297"/>
      <c r="S267" s="193">
        <f t="shared" si="137"/>
        <v>-858.64</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3163</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0</v>
      </c>
      <c r="M268" s="304"/>
      <c r="N268" s="305">
        <f t="shared" si="135"/>
        <v>-379.94</v>
      </c>
      <c r="O268" s="304"/>
      <c r="P268" s="302"/>
      <c r="Q268" s="174">
        <f>SUMIFS(BV_Data_An_Prec!$O:$O,BV_Data_An_Prec!$U:$U,$B268,BV_Data_An_Prec!$V:$V,$C268,BV_Data_An_Prec!$W:$W,$L$2)</f>
        <v>430.02</v>
      </c>
      <c r="R268" s="304"/>
      <c r="S268" s="196">
        <f t="shared" si="137"/>
        <v>-430.02</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3164</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0</v>
      </c>
      <c r="M269" s="297"/>
      <c r="N269" s="298">
        <f t="shared" si="135"/>
        <v>-1313.4198641666667</v>
      </c>
      <c r="O269" s="297"/>
      <c r="P269" s="172"/>
      <c r="Q269" s="175">
        <f>SUMIFS(BV_Data_An_Prec!$O:$O,BV_Data_An_Prec!$U:$U,$B269,BV_Data_An_Prec!$V:$V,$C269,BV_Data_An_Prec!$W:$W,$L$2)</f>
        <v>1366.02</v>
      </c>
      <c r="R269" s="297"/>
      <c r="S269" s="193">
        <f t="shared" si="137"/>
        <v>-1366.02</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3165</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0</v>
      </c>
      <c r="M270" s="297"/>
      <c r="N270" s="298">
        <f t="shared" si="135"/>
        <v>-173.28101875000004</v>
      </c>
      <c r="O270" s="297"/>
      <c r="P270" s="172"/>
      <c r="Q270" s="174">
        <f>SUMIFS(BV_Data_An_Prec!$O:$O,BV_Data_An_Prec!$U:$U,$B270,BV_Data_An_Prec!$V:$V,$C270,BV_Data_An_Prec!$W:$W,$L$2)</f>
        <v>178.69</v>
      </c>
      <c r="R270" s="297"/>
      <c r="S270" s="193">
        <f t="shared" si="137"/>
        <v>-178.69</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3166</v>
      </c>
      <c r="B271" s="24" t="s">
        <v>171</v>
      </c>
      <c r="C271" s="299" t="s">
        <v>126</v>
      </c>
      <c r="D271" s="301"/>
      <c r="E271" s="302"/>
      <c r="F271" s="171">
        <f>+INDEX('Budget original'!$A$2:$AO$500,MATCH($A271,'Budget original'!$A$2:$A$500,0),MATCH(F$2,'Budget original'!$A$2:$AO$2,0))</f>
        <v>772.6470888888889</v>
      </c>
      <c r="G271" s="303"/>
      <c r="H271" s="302"/>
      <c r="I271" s="171">
        <f>+INDEX('Budget révisé'!$A$2:$AO$500,MATCH($A271,'Budget révisé'!$A$2:$A$500,0),MATCH(I$2,'Budget révisé'!$A$2:$AO$2,0))</f>
        <v>772.6470888888889</v>
      </c>
      <c r="J271" s="304"/>
      <c r="K271" s="302"/>
      <c r="L271" s="174">
        <f>SUMIFS(BV_Data_An_Cour!$P:$P,BV_Data_An_Cour!$V:$V,$B271,BV_Data_An_Cour!$W:$W,$C271,BV_Data_An_Cour!$X:$X,$L$2)</f>
        <v>0</v>
      </c>
      <c r="M271" s="304"/>
      <c r="N271" s="305">
        <f t="shared" si="135"/>
        <v>-772.6470888888889</v>
      </c>
      <c r="O271" s="304"/>
      <c r="P271" s="302"/>
      <c r="Q271" s="174">
        <f>SUMIFS(BV_Data_An_Prec!$O:$O,BV_Data_An_Prec!$U:$U,$B271,BV_Data_An_Prec!$V:$V,$C271,BV_Data_An_Prec!$W:$W,$L$2)</f>
        <v>605.45000000000005</v>
      </c>
      <c r="R271" s="304"/>
      <c r="S271" s="196">
        <f t="shared" si="137"/>
        <v>-605.45000000000005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3167</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3168</v>
      </c>
      <c r="B273" s="24" t="s">
        <v>171</v>
      </c>
      <c r="C273" s="299" t="s">
        <v>127</v>
      </c>
      <c r="D273" s="295"/>
      <c r="E273" s="172"/>
      <c r="F273" s="173">
        <f>+INDEX('Budget original'!$A$2:$AO$500,MATCH($A273,'Budget original'!$A$2:$A$500,0),MATCH(F$2,'Budget original'!$A$2:$AO$2,0))</f>
        <v>89.804909921362054</v>
      </c>
      <c r="G273" s="296"/>
      <c r="H273" s="172"/>
      <c r="I273" s="173">
        <f>+INDEX('Budget révisé'!$A$2:$AO$500,MATCH($A273,'Budget révisé'!$A$2:$A$500,0),MATCH(I$2,'Budget révisé'!$A$2:$AO$2,0))</f>
        <v>89.804909921362054</v>
      </c>
      <c r="J273" s="297"/>
      <c r="K273" s="172"/>
      <c r="L273" s="275">
        <f>SUMIFS(BV_Data_An_Cour!$P:$P,BV_Data_An_Cour!$V:$V,$B273,BV_Data_An_Cour!$W:$W,$C273,BV_Data_An_Cour!$X:$X,$L$2)</f>
        <v>0</v>
      </c>
      <c r="M273" s="297"/>
      <c r="N273" s="298">
        <f t="shared" si="135"/>
        <v>-89.804909921362054</v>
      </c>
      <c r="O273" s="297"/>
      <c r="P273" s="172"/>
      <c r="Q273" s="174">
        <f>SUMIFS(BV_Data_An_Prec!$O:$O,BV_Data_An_Prec!$U:$U,$B273,BV_Data_An_Prec!$V:$V,$C273,BV_Data_An_Prec!$W:$W,$L$2)</f>
        <v>-4.82</v>
      </c>
      <c r="R273" s="297"/>
      <c r="S273" s="193">
        <f t="shared" si="137"/>
        <v>4.82</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3169</v>
      </c>
      <c r="B274" s="24" t="s">
        <v>171</v>
      </c>
      <c r="C274" s="299" t="s">
        <v>128</v>
      </c>
      <c r="D274" s="295"/>
      <c r="E274" s="172"/>
      <c r="F274" s="173">
        <f>+INDEX('Budget original'!$A$2:$AO$500,MATCH($A274,'Budget original'!$A$2:$A$500,0),MATCH(F$2,'Budget original'!$A$2:$AO$2,0))</f>
        <v>47.719968360328004</v>
      </c>
      <c r="G274" s="296"/>
      <c r="H274" s="172"/>
      <c r="I274" s="173">
        <f>+INDEX('Budget révisé'!$A$2:$AO$500,MATCH($A274,'Budget révisé'!$A$2:$A$500,0),MATCH(I$2,'Budget révisé'!$A$2:$AO$2,0))</f>
        <v>47.719968360328004</v>
      </c>
      <c r="J274" s="297"/>
      <c r="K274" s="172"/>
      <c r="L274" s="275">
        <f>SUMIFS(BV_Data_An_Cour!$P:$P,BV_Data_An_Cour!$V:$V,$B274,BV_Data_An_Cour!$W:$W,$C274,BV_Data_An_Cour!$X:$X,$L$2)</f>
        <v>0</v>
      </c>
      <c r="M274" s="297"/>
      <c r="N274" s="298">
        <f t="shared" si="135"/>
        <v>-47.719968360328004</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3170</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0</v>
      </c>
      <c r="M275" s="297"/>
      <c r="N275" s="298">
        <f t="shared" si="135"/>
        <v>-142.81407000000002</v>
      </c>
      <c r="O275" s="297"/>
      <c r="P275" s="172"/>
      <c r="Q275" s="548">
        <f>SUMIFS(BV_Data_An_Prec!$O:$O,BV_Data_An_Prec!$U:$U,$B275,BV_Data_An_Prec!$V:$V,$C275,BV_Data_An_Prec!$W:$W,$L$2)</f>
        <v>179.79</v>
      </c>
      <c r="R275" s="297"/>
      <c r="S275" s="193">
        <f t="shared" si="137"/>
        <v>-179.79</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3171</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0</v>
      </c>
      <c r="M276" s="297"/>
      <c r="N276" s="298">
        <f t="shared" si="135"/>
        <v>-65.945365208333342</v>
      </c>
      <c r="O276" s="297"/>
      <c r="P276" s="172"/>
      <c r="Q276" s="174">
        <f>SUMIFS(BV_Data_An_Prec!$O:$O,BV_Data_An_Prec!$U:$U,$B276,BV_Data_An_Prec!$V:$V,$C276,BV_Data_An_Prec!$W:$W,$L$2)</f>
        <v>21.97</v>
      </c>
      <c r="R276" s="297"/>
      <c r="S276" s="193">
        <f t="shared" si="137"/>
        <v>-21.97</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3172</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0</v>
      </c>
      <c r="M277" s="297"/>
      <c r="N277" s="298">
        <f t="shared" si="135"/>
        <v>-35.200609791666665</v>
      </c>
      <c r="O277" s="297"/>
      <c r="P277" s="172"/>
      <c r="Q277" s="174">
        <f>SUMIFS(BV_Data_An_Prec!$O:$O,BV_Data_An_Prec!$U:$U,$B277,BV_Data_An_Prec!$V:$V,$C277,BV_Data_An_Prec!$W:$W,$L$2)</f>
        <v>71.34</v>
      </c>
      <c r="R277" s="297"/>
      <c r="S277" s="193">
        <f t="shared" si="137"/>
        <v>-71.34</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3173</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0</v>
      </c>
      <c r="M278" s="297"/>
      <c r="N278" s="298">
        <f t="shared" si="135"/>
        <v>-169.80109854166665</v>
      </c>
      <c r="O278" s="297"/>
      <c r="P278" s="172"/>
      <c r="Q278" s="174">
        <f>SUMIFS(BV_Data_An_Prec!$O:$O,BV_Data_An_Prec!$U:$U,$B278,BV_Data_An_Prec!$V:$V,$C278,BV_Data_An_Prec!$W:$W,$L$2)</f>
        <v>297.02</v>
      </c>
      <c r="R278" s="297"/>
      <c r="S278" s="193">
        <f t="shared" si="137"/>
        <v>-297.02</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3174</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0</v>
      </c>
      <c r="M279" s="297"/>
      <c r="N279" s="298">
        <f t="shared" si="135"/>
        <v>-252.27480833333334</v>
      </c>
      <c r="O279" s="297"/>
      <c r="P279" s="172"/>
      <c r="Q279" s="174">
        <f>SUMIFS(BV_Data_An_Prec!$O:$O,BV_Data_An_Prec!$U:$U,$B279,BV_Data_An_Prec!$V:$V,$C279,BV_Data_An_Prec!$W:$W,$L$2)</f>
        <v>6.2</v>
      </c>
      <c r="R279" s="297"/>
      <c r="S279" s="193">
        <f t="shared" si="137"/>
        <v>-6.2</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3175</v>
      </c>
      <c r="B280" s="24" t="s">
        <v>171</v>
      </c>
      <c r="C280" s="299" t="s">
        <v>134</v>
      </c>
      <c r="D280" s="295"/>
      <c r="E280" s="172"/>
      <c r="F280" s="225">
        <f>+INDEX('Budget original'!$A$2:$AO$500,MATCH($A280,'Budget original'!$A$2:$A$500,0),MATCH(F$2,'Budget original'!$A$2:$AO$2,0))</f>
        <v>653.3530266904711</v>
      </c>
      <c r="G280" s="296"/>
      <c r="H280" s="172"/>
      <c r="I280" s="173">
        <f>+INDEX('Budget révisé'!$A$2:$AO$500,MATCH($A280,'Budget révisé'!$A$2:$A$500,0),MATCH(I$2,'Budget révisé'!$A$2:$AO$2,0))</f>
        <v>653.3530266904711</v>
      </c>
      <c r="J280" s="297"/>
      <c r="K280" s="172"/>
      <c r="L280" s="275">
        <f>AF447*W6</f>
        <v>0</v>
      </c>
      <c r="M280" s="297"/>
      <c r="N280" s="298">
        <f t="shared" si="135"/>
        <v>-653.3530266904711</v>
      </c>
      <c r="O280" s="297"/>
      <c r="P280" s="172"/>
      <c r="Q280" s="275">
        <f>AL447*W6</f>
        <v>227.85374999999999</v>
      </c>
      <c r="R280" s="297"/>
      <c r="S280" s="193">
        <f t="shared" si="137"/>
        <v>-227.85374999999999</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3155</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3155</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3155</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4413.388987417783</v>
      </c>
      <c r="G284" s="42" t="s">
        <v>111</v>
      </c>
      <c r="H284" s="40" t="e">
        <f>I284/I$243</f>
        <v>#DIV/0!</v>
      </c>
      <c r="I284" s="41">
        <f>+SUM(I266:I283)</f>
        <v>4413.388987417783</v>
      </c>
      <c r="J284" s="42" t="s">
        <v>111</v>
      </c>
      <c r="K284" s="40">
        <f>IF(L261=0,0,L284/L$243)</f>
        <v>0</v>
      </c>
      <c r="L284" s="41">
        <f>+SUM(L266:L283)</f>
        <v>0</v>
      </c>
      <c r="M284" s="44"/>
      <c r="N284" s="41">
        <f>+SUM(N266:N283)</f>
        <v>-4413.388987417783</v>
      </c>
      <c r="O284" s="42" t="s">
        <v>111</v>
      </c>
      <c r="P284" s="40" t="e">
        <f>IF(Q261=0,0,Q284/Q$243)</f>
        <v>#DIV/0!</v>
      </c>
      <c r="Q284" s="41">
        <f>+SUM(Q266:Q283)</f>
        <v>4296.673749999999</v>
      </c>
      <c r="R284" s="44"/>
      <c r="S284" s="310">
        <f t="shared" ref="S284" si="142">L284-Q284</f>
        <v>-4296.673749999999</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11721.115649769657</v>
      </c>
      <c r="G286" s="42" t="s">
        <v>111</v>
      </c>
      <c r="H286" s="40" t="e">
        <f>I286/I$243</f>
        <v>#DIV/0!</v>
      </c>
      <c r="I286" s="41">
        <f>I265+I284</f>
        <v>11721.115649769657</v>
      </c>
      <c r="J286" s="42" t="s">
        <v>111</v>
      </c>
      <c r="K286" s="40">
        <f>IF(L263=0,0,L286/L$243)</f>
        <v>0</v>
      </c>
      <c r="L286" s="41">
        <f>L265+L284</f>
        <v>0</v>
      </c>
      <c r="M286" s="44"/>
      <c r="N286" s="46">
        <f t="shared" ref="N286:N288" si="143">L286-I286</f>
        <v>-11721.115649769657</v>
      </c>
      <c r="O286" s="42" t="s">
        <v>111</v>
      </c>
      <c r="P286" s="40" t="e">
        <f>IF(Q263=0,0,Q286/Q$243)</f>
        <v>#DIV/0!</v>
      </c>
      <c r="Q286" s="41">
        <f>Q265+Q284</f>
        <v>13163.50375</v>
      </c>
      <c r="R286" s="44"/>
      <c r="S286" s="293">
        <f>L286-Q286</f>
        <v>-13163.50375</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8489.9315067108982</v>
      </c>
      <c r="G288" s="338"/>
      <c r="H288" s="336"/>
      <c r="I288" s="337">
        <f>I249-I286</f>
        <v>8489.9315067108982</v>
      </c>
      <c r="J288" s="339"/>
      <c r="K288" s="340"/>
      <c r="L288" s="337">
        <f>L249-L286</f>
        <v>0</v>
      </c>
      <c r="M288" s="339"/>
      <c r="N288" s="337">
        <f t="shared" si="143"/>
        <v>-8489.9315067108982</v>
      </c>
      <c r="O288" s="339"/>
      <c r="P288" s="340"/>
      <c r="Q288" s="337">
        <f>Q249-Q286</f>
        <v>10123.586250000004</v>
      </c>
      <c r="R288" s="339"/>
      <c r="S288" s="341">
        <f>L288-Q288</f>
        <v>-10123.586250000004</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91" t="str">
        <f>C1</f>
        <v>Volks</v>
      </c>
      <c r="D290" s="19"/>
      <c r="E290" s="19"/>
      <c r="F290" s="19"/>
      <c r="G290" s="19"/>
      <c r="H290" s="18"/>
      <c r="I290" s="18"/>
      <c r="J290" s="18"/>
      <c r="K290" s="5" t="s">
        <v>175</v>
      </c>
      <c r="L290" s="19"/>
      <c r="M290" s="19"/>
      <c r="N290" s="18"/>
      <c r="O290" s="18"/>
      <c r="P290" s="19"/>
      <c r="Q290" s="18"/>
      <c r="R290" s="19"/>
      <c r="S290" s="6" t="str">
        <f>$S$1</f>
        <v>Réalisé, Octobre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21" t="s">
        <v>77</v>
      </c>
      <c r="E292" s="1422"/>
      <c r="F292" s="1423"/>
      <c r="G292" s="1424" t="s">
        <v>145</v>
      </c>
      <c r="H292" s="1422"/>
      <c r="I292" s="1423"/>
      <c r="J292" s="1424" t="s">
        <v>79</v>
      </c>
      <c r="K292" s="1422"/>
      <c r="L292" s="1423"/>
      <c r="M292" s="1424" t="s">
        <v>80</v>
      </c>
      <c r="N292" s="1423"/>
      <c r="O292" s="1421" t="s">
        <v>81</v>
      </c>
      <c r="P292" s="1422"/>
      <c r="Q292" s="1423"/>
      <c r="R292" s="1424" t="s">
        <v>82</v>
      </c>
      <c r="S292" s="1425"/>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3609</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3176</v>
      </c>
      <c r="B294" s="24" t="s">
        <v>175</v>
      </c>
      <c r="C294" s="258" t="s">
        <v>177</v>
      </c>
      <c r="D294" s="191">
        <f>+INDEX('Budget original'!$A$2:$AO$500,MATCH($A294,'Budget original'!$A$2:$A$500,0),MATCH(D$2,'Budget original'!$A$2:$AO$2,0))</f>
        <v>95696.632594750467</v>
      </c>
      <c r="E294" s="204">
        <f>IF(D294=0,0,F294/D294)</f>
        <v>0.35811007851031496</v>
      </c>
      <c r="F294" s="193">
        <f>+INDEX('Budget original'!$A$2:$AO$500,MATCH($A294,'Budget original'!$A$2:$A$500,0),MATCH(F$2,'Budget original'!$A$2:$AO$2,0))</f>
        <v>34269.928611678857</v>
      </c>
      <c r="G294" s="191">
        <f>+INDEX('Budget révisé'!$A$2:$AO$500,MATCH($A294,'Budget révisé'!$A$2:$A$500,0),MATCH(G$2,'Budget révisé'!$A$2:$AO$2,0))</f>
        <v>95696.632594750467</v>
      </c>
      <c r="H294" s="204">
        <f>IF(G294=0,0,I294/G294)</f>
        <v>0.35811007851031496</v>
      </c>
      <c r="I294" s="193">
        <f>+INDEX('Budget révisé'!$A$2:$AO$500,MATCH($A294,'Budget révisé'!$A$2:$A$500,0),MATCH(I$2,'Budget révisé'!$A$2:$AO$2,0))</f>
        <v>34269.928611678857</v>
      </c>
      <c r="J294" s="173">
        <f>-SUMIFS(BV_Data_An_Cour!$P:$P,BV_Data_An_Cour!$Y:$Y,"Oui",BV_Data_An_Cour!$V:$V,$B294,BV_Data_An_Cour!$W:$W,$C294)</f>
        <v>0</v>
      </c>
      <c r="K294" s="204">
        <f t="shared" ref="K294:K299" si="144">IF(J294&lt;=0,0,L294/J294)</f>
        <v>0</v>
      </c>
      <c r="L294" s="193">
        <f>-SUMIFS(BV_Data_An_Cour!$P:$P,BV_Data_An_Cour!$V:$V,$B294,BV_Data_An_Cour!$W:$W,$C294,BV_Data_An_Cour!$X:$X,$L$2)</f>
        <v>0</v>
      </c>
      <c r="M294" s="318">
        <f t="shared" ref="M294:M299" si="145">(+J294-G294)/G294</f>
        <v>-1</v>
      </c>
      <c r="N294" s="298">
        <f t="shared" ref="N294:N299" si="146">L294-I294</f>
        <v>-34269.928611678857</v>
      </c>
      <c r="O294" s="173">
        <f>-SUMIFS(BV_Data_An_Prec!$O:$O,BV_Data_An_Prec!$X:$X,"Oui",BV_Data_An_Prec!$U:$U,$B294,BV_Data_An_Prec!$V:$V,$C294)</f>
        <v>79854.55</v>
      </c>
      <c r="P294" s="204">
        <f t="shared" ref="P294:P303" si="147">IF(O294&lt;=0,0,Q294/O294)</f>
        <v>0.3625494101463223</v>
      </c>
      <c r="Q294" s="193">
        <f>-SUMIFS(BV_Data_An_Prec!$O:$O,BV_Data_An_Prec!$U:$U,$B294,BV_Data_An_Prec!$V:$V,$C294,BV_Data_An_Prec!$W:$W,$L$2)</f>
        <v>28951.220000000005</v>
      </c>
      <c r="R294" s="318">
        <f>IF(O294=0,0,(J294-O294)/O294)</f>
        <v>-1</v>
      </c>
      <c r="S294" s="193">
        <f t="shared" ref="S294:S299" si="148">L294-Q294</f>
        <v>-28951.220000000005</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3177</v>
      </c>
      <c r="B295" s="24" t="s">
        <v>175</v>
      </c>
      <c r="C295" s="258" t="s">
        <v>178</v>
      </c>
      <c r="D295" s="191">
        <f>+INDEX('Budget original'!$A$2:$AO$500,MATCH($A295,'Budget original'!$A$2:$A$500,0),MATCH(D$2,'Budget original'!$A$2:$AO$2,0))</f>
        <v>40369.334451595299</v>
      </c>
      <c r="E295" s="204">
        <f t="shared" ref="E295:E302" si="149">IF(D295=0,0,F295/D295)</f>
        <v>0.2571723304036081</v>
      </c>
      <c r="F295" s="193">
        <f>+INDEX('Budget original'!$A$2:$AO$500,MATCH($A295,'Budget original'!$A$2:$A$500,0),MATCH(F$2,'Budget original'!$A$2:$AO$2,0))</f>
        <v>10381.875817759426</v>
      </c>
      <c r="G295" s="191">
        <f>+INDEX('Budget révisé'!$A$2:$AO$500,MATCH($A295,'Budget révisé'!$A$2:$A$500,0),MATCH(G$2,'Budget révisé'!$A$2:$AO$2,0))</f>
        <v>40369.334451595299</v>
      </c>
      <c r="H295" s="204">
        <f t="shared" ref="H295:H302" si="150">IF(G295=0,0,I295/G295)</f>
        <v>0.2571723304036081</v>
      </c>
      <c r="I295" s="193">
        <f>+INDEX('Budget révisé'!$A$2:$AO$500,MATCH($A295,'Budget révisé'!$A$2:$A$500,0),MATCH(I$2,'Budget révisé'!$A$2:$AO$2,0))</f>
        <v>10381.875817759426</v>
      </c>
      <c r="J295" s="173">
        <f>-SUMIFS(BV_Data_An_Cour!$P:$P,BV_Data_An_Cour!$Y:$Y,"Oui",BV_Data_An_Cour!$V:$V,$B295,BV_Data_An_Cour!$W:$W,$C295)</f>
        <v>0</v>
      </c>
      <c r="K295" s="204">
        <f t="shared" si="144"/>
        <v>0</v>
      </c>
      <c r="L295" s="193">
        <f>-SUMIFS(BV_Data_An_Cour!$P:$P,BV_Data_An_Cour!$V:$V,$B295,BV_Data_An_Cour!$W:$W,$C295,BV_Data_An_Cour!$X:$X,$L$2)</f>
        <v>0</v>
      </c>
      <c r="M295" s="318">
        <f t="shared" si="145"/>
        <v>-1</v>
      </c>
      <c r="N295" s="298">
        <f t="shared" si="146"/>
        <v>-10381.875817759426</v>
      </c>
      <c r="O295" s="173">
        <f>-SUMIFS(BV_Data_An_Prec!$O:$O,BV_Data_An_Prec!$X:$X,"Oui",BV_Data_An_Prec!$U:$U,$B295,BV_Data_An_Prec!$V:$V,$C295)</f>
        <v>68557.119999999995</v>
      </c>
      <c r="P295" s="204">
        <f t="shared" si="147"/>
        <v>0.26081842411116452</v>
      </c>
      <c r="Q295" s="193">
        <f>-SUMIFS(BV_Data_An_Prec!$O:$O,BV_Data_An_Prec!$U:$U,$B295,BV_Data_An_Prec!$V:$V,$C295,BV_Data_An_Prec!$W:$W,$L$2)</f>
        <v>17880.96</v>
      </c>
      <c r="R295" s="318">
        <f t="shared" ref="R295:R302" si="151">IF(O295=0,0,(J295-O295)/O295)</f>
        <v>-1</v>
      </c>
      <c r="S295" s="193">
        <f t="shared" si="148"/>
        <v>-17880.96</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3178</v>
      </c>
      <c r="B296" s="24" t="s">
        <v>175</v>
      </c>
      <c r="C296" s="258" t="s">
        <v>179</v>
      </c>
      <c r="D296" s="191">
        <f>+INDEX('Budget original'!$A$2:$AO$500,MATCH($A296,'Budget original'!$A$2:$A$500,0),MATCH(D$2,'Budget original'!$A$2:$AO$2,0))</f>
        <v>80768.008384112531</v>
      </c>
      <c r="E296" s="204">
        <f t="shared" si="149"/>
        <v>0.24177651145507995</v>
      </c>
      <c r="F296" s="193">
        <f>+INDEX('Budget original'!$A$2:$AO$500,MATCH($A296,'Budget original'!$A$2:$A$500,0),MATCH(F$2,'Budget original'!$A$2:$AO$2,0))</f>
        <v>19527.807304285376</v>
      </c>
      <c r="G296" s="191">
        <f>+INDEX('Budget révisé'!$A$2:$AO$500,MATCH($A296,'Budget révisé'!$A$2:$A$500,0),MATCH(G$2,'Budget révisé'!$A$2:$AO$2,0))</f>
        <v>80768.008384112531</v>
      </c>
      <c r="H296" s="204">
        <f t="shared" si="150"/>
        <v>0.24177651145507995</v>
      </c>
      <c r="I296" s="193">
        <f>+INDEX('Budget révisé'!$A$2:$AO$500,MATCH($A296,'Budget révisé'!$A$2:$A$500,0),MATCH(I$2,'Budget révisé'!$A$2:$AO$2,0))</f>
        <v>19527.807304285376</v>
      </c>
      <c r="J296" s="173">
        <f>-SUMIFS(BV_Data_An_Cour!$P:$P,BV_Data_An_Cour!$Y:$Y,"Oui",BV_Data_An_Cour!$V:$V,$B296,BV_Data_An_Cour!$W:$W,$C296)</f>
        <v>0</v>
      </c>
      <c r="K296" s="204">
        <f t="shared" si="144"/>
        <v>0</v>
      </c>
      <c r="L296" s="193">
        <f>-SUMIFS(BV_Data_An_Cour!$P:$P,BV_Data_An_Cour!$V:$V,$B296,BV_Data_An_Cour!$W:$W,$C296,BV_Data_An_Cour!$X:$X,$L$2)</f>
        <v>0</v>
      </c>
      <c r="M296" s="318">
        <f t="shared" si="145"/>
        <v>-1</v>
      </c>
      <c r="N296" s="298">
        <f t="shared" si="146"/>
        <v>-19527.807304285376</v>
      </c>
      <c r="O296" s="173">
        <f>-SUMIFS(BV_Data_An_Prec!$O:$O,BV_Data_An_Prec!$X:$X,"Oui",BV_Data_An_Prec!$U:$U,$B296,BV_Data_An_Prec!$V:$V,$C296)</f>
        <v>47989.56</v>
      </c>
      <c r="P296" s="204">
        <f t="shared" si="147"/>
        <v>0.23850520821612023</v>
      </c>
      <c r="Q296" s="193">
        <f>-SUMIFS(BV_Data_An_Prec!$O:$O,BV_Data_An_Prec!$U:$U,$B296,BV_Data_An_Prec!$V:$V,$C296,BV_Data_An_Prec!$W:$W,$L$2)</f>
        <v>11445.759999999995</v>
      </c>
      <c r="R296" s="318">
        <f t="shared" si="151"/>
        <v>-1</v>
      </c>
      <c r="S296" s="193">
        <f t="shared" si="148"/>
        <v>-11445.759999999995</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3179</v>
      </c>
      <c r="B297" s="24" t="s">
        <v>175</v>
      </c>
      <c r="C297" s="258" t="s">
        <v>180</v>
      </c>
      <c r="D297" s="191">
        <f>+INDEX('Budget original'!$A$2:$AO$500,MATCH($A297,'Budget original'!$A$2:$A$500,0),MATCH(D$2,'Budget original'!$A$2:$AO$2,0))</f>
        <v>82965.37538955608</v>
      </c>
      <c r="E297" s="204">
        <f t="shared" si="149"/>
        <v>0.32393223852119107</v>
      </c>
      <c r="F297" s="193">
        <f>+INDEX('Budget original'!$A$2:$AO$500,MATCH($A297,'Budget original'!$A$2:$A$500,0),MATCH(F$2,'Budget original'!$A$2:$AO$2,0))</f>
        <v>26875.159769689835</v>
      </c>
      <c r="G297" s="191">
        <f>+INDEX('Budget révisé'!$A$2:$AO$500,MATCH($A297,'Budget révisé'!$A$2:$A$500,0),MATCH(G$2,'Budget révisé'!$A$2:$AO$2,0))</f>
        <v>82965.37538955608</v>
      </c>
      <c r="H297" s="204">
        <f t="shared" si="150"/>
        <v>0.32393223852119107</v>
      </c>
      <c r="I297" s="193">
        <f>+INDEX('Budget révisé'!$A$2:$AO$500,MATCH($A297,'Budget révisé'!$A$2:$A$500,0),MATCH(I$2,'Budget révisé'!$A$2:$AO$2,0))</f>
        <v>26875.159769689835</v>
      </c>
      <c r="J297" s="173">
        <f>-SUMIFS(BV_Data_An_Cour!$P:$P,BV_Data_An_Cour!$Y:$Y,"Oui",BV_Data_An_Cour!$V:$V,$B297,BV_Data_An_Cour!$W:$W,$C297)</f>
        <v>0</v>
      </c>
      <c r="K297" s="204">
        <f t="shared" si="144"/>
        <v>0</v>
      </c>
      <c r="L297" s="193">
        <f>-SUMIFS(BV_Data_An_Cour!$P:$P,BV_Data_An_Cour!$V:$V,$B297,BV_Data_An_Cour!$W:$W,$C297,BV_Data_An_Cour!$X:$X,$L$2)</f>
        <v>0</v>
      </c>
      <c r="M297" s="318">
        <f t="shared" si="145"/>
        <v>-1</v>
      </c>
      <c r="N297" s="298">
        <f t="shared" si="146"/>
        <v>-26875.159769689835</v>
      </c>
      <c r="O297" s="173">
        <f>-SUMIFS(BV_Data_An_Prec!$O:$O,BV_Data_An_Prec!$X:$X,"Oui",BV_Data_An_Prec!$U:$U,$B297,BV_Data_An_Prec!$V:$V,$C297)</f>
        <v>56872.639999999999</v>
      </c>
      <c r="P297" s="204">
        <f t="shared" si="147"/>
        <v>0.28767083785806319</v>
      </c>
      <c r="Q297" s="193">
        <f>-SUMIFS(BV_Data_An_Prec!$O:$O,BV_Data_An_Prec!$U:$U,$B297,BV_Data_An_Prec!$V:$V,$C297,BV_Data_An_Prec!$W:$W,$L$2)</f>
        <v>16360.599999999999</v>
      </c>
      <c r="R297" s="318">
        <f t="shared" si="151"/>
        <v>-1</v>
      </c>
      <c r="S297" s="193">
        <f t="shared" si="148"/>
        <v>-16360.599999999999</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3180</v>
      </c>
      <c r="B298" s="24" t="s">
        <v>175</v>
      </c>
      <c r="C298" s="258" t="s">
        <v>181</v>
      </c>
      <c r="D298" s="191">
        <f>+INDEX('Budget original'!$A$2:$AO$500,MATCH($A298,'Budget original'!$A$2:$A$500,0),MATCH(D$2,'Budget original'!$A$2:$AO$2,0))</f>
        <v>19902.298775527383</v>
      </c>
      <c r="E298" s="204">
        <f t="shared" si="149"/>
        <v>0.28113730707120016</v>
      </c>
      <c r="F298" s="193">
        <f>+INDEX('Budget original'!$A$2:$AO$500,MATCH($A298,'Budget original'!$A$2:$A$500,0),MATCH(F$2,'Budget original'!$A$2:$AO$2,0))</f>
        <v>5595.2786822782127</v>
      </c>
      <c r="G298" s="191">
        <f>+INDEX('Budget révisé'!$A$2:$AO$500,MATCH($A298,'Budget révisé'!$A$2:$A$500,0),MATCH(G$2,'Budget révisé'!$A$2:$AO$2,0))</f>
        <v>19902.298775527383</v>
      </c>
      <c r="H298" s="204">
        <f t="shared" si="150"/>
        <v>0.28113730707120016</v>
      </c>
      <c r="I298" s="193">
        <f>+INDEX('Budget révisé'!$A$2:$AO$500,MATCH($A298,'Budget révisé'!$A$2:$A$500,0),MATCH(I$2,'Budget révisé'!$A$2:$AO$2,0))</f>
        <v>5595.2786822782127</v>
      </c>
      <c r="J298" s="173">
        <f>-SUMIFS(BV_Data_An_Cour!$P:$P,BV_Data_An_Cour!$Y:$Y,"Oui",BV_Data_An_Cour!$V:$V,$B298,BV_Data_An_Cour!$W:$W,$C298)</f>
        <v>0</v>
      </c>
      <c r="K298" s="204">
        <f t="shared" si="144"/>
        <v>0</v>
      </c>
      <c r="L298" s="193">
        <f>-SUMIFS(BV_Data_An_Cour!$P:$P,BV_Data_An_Cour!$V:$V,$B298,BV_Data_An_Cour!$W:$W,$C298,BV_Data_An_Cour!$X:$X,$L$2)</f>
        <v>0</v>
      </c>
      <c r="M298" s="318">
        <f t="shared" si="145"/>
        <v>-1</v>
      </c>
      <c r="N298" s="298">
        <f t="shared" si="146"/>
        <v>-5595.2786822782127</v>
      </c>
      <c r="O298" s="173">
        <f>-SUMIFS(BV_Data_An_Prec!$O:$O,BV_Data_An_Prec!$X:$X,"Oui",BV_Data_An_Prec!$U:$U,$B298,BV_Data_An_Prec!$V:$V,$C298)</f>
        <v>18680.150000000001</v>
      </c>
      <c r="P298" s="204">
        <f t="shared" si="147"/>
        <v>0.22817322130710946</v>
      </c>
      <c r="Q298" s="193">
        <f>-SUMIFS(BV_Data_An_Prec!$O:$O,BV_Data_An_Prec!$U:$U,$B298,BV_Data_An_Prec!$V:$V,$C298,BV_Data_An_Prec!$W:$W,$L$2)</f>
        <v>4262.3100000000013</v>
      </c>
      <c r="R298" s="318">
        <f t="shared" si="151"/>
        <v>-1</v>
      </c>
      <c r="S298" s="193">
        <f t="shared" si="148"/>
        <v>-4262.3100000000013</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3181</v>
      </c>
      <c r="B299" s="24" t="s">
        <v>175</v>
      </c>
      <c r="C299" s="258" t="s">
        <v>182</v>
      </c>
      <c r="D299" s="191">
        <f>+INDEX('Budget original'!$A$2:$AO$500,MATCH($A299,'Budget original'!$A$2:$A$500,0),MATCH(D$2,'Budget original'!$A$2:$AO$2,0))</f>
        <v>60731.529763844148</v>
      </c>
      <c r="E299" s="204">
        <f t="shared" si="149"/>
        <v>0.18194830719212418</v>
      </c>
      <c r="F299" s="193">
        <f>+INDEX('Budget original'!$A$2:$AO$500,MATCH($A299,'Budget original'!$A$2:$A$500,0),MATCH(F$2,'Budget original'!$A$2:$AO$2,0))</f>
        <v>11049.999033719549</v>
      </c>
      <c r="G299" s="191">
        <f>+INDEX('Budget révisé'!$A$2:$AO$500,MATCH($A299,'Budget révisé'!$A$2:$A$500,0),MATCH(G$2,'Budget révisé'!$A$2:$AO$2,0))</f>
        <v>60731.529763844148</v>
      </c>
      <c r="H299" s="204">
        <f t="shared" si="150"/>
        <v>0.18194830719212418</v>
      </c>
      <c r="I299" s="193">
        <f>+INDEX('Budget révisé'!$A$2:$AO$500,MATCH($A299,'Budget révisé'!$A$2:$A$500,0),MATCH(I$2,'Budget révisé'!$A$2:$AO$2,0))</f>
        <v>11049.999033719549</v>
      </c>
      <c r="J299" s="173">
        <f>-SUMIFS(BV_Data_An_Cour!$P:$P,BV_Data_An_Cour!$Y:$Y,"Oui",BV_Data_An_Cour!$V:$V,$B299,BV_Data_An_Cour!$W:$W,$C299)</f>
        <v>0</v>
      </c>
      <c r="K299" s="204">
        <f t="shared" si="144"/>
        <v>0</v>
      </c>
      <c r="L299" s="193">
        <f>-SUMIFS(BV_Data_An_Cour!$P:$P,BV_Data_An_Cour!$V:$V,$B299,BV_Data_An_Cour!$W:$W,$C299,BV_Data_An_Cour!$X:$X,$L$2)</f>
        <v>0</v>
      </c>
      <c r="M299" s="318">
        <f t="shared" si="145"/>
        <v>-1</v>
      </c>
      <c r="N299" s="298">
        <f t="shared" si="146"/>
        <v>-11049.999033719549</v>
      </c>
      <c r="O299" s="173">
        <f>-SUMIFS(BV_Data_An_Prec!$O:$O,BV_Data_An_Prec!$X:$X,"Oui",BV_Data_An_Prec!$U:$U,$B299,BV_Data_An_Prec!$V:$V,$C299)</f>
        <v>56712.29</v>
      </c>
      <c r="P299" s="204">
        <f t="shared" si="147"/>
        <v>0.17758725665988795</v>
      </c>
      <c r="Q299" s="193">
        <f>-SUMIFS(BV_Data_An_Prec!$O:$O,BV_Data_An_Prec!$U:$U,$B299,BV_Data_An_Prec!$V:$V,$C299,BV_Data_An_Prec!$W:$W,$L$2)</f>
        <v>10071.379999999997</v>
      </c>
      <c r="R299" s="318">
        <f t="shared" si="151"/>
        <v>-1</v>
      </c>
      <c r="S299" s="193">
        <f t="shared" si="148"/>
        <v>-10071.379999999997</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3182</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3183</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6304.657699491182</v>
      </c>
      <c r="G301" s="191">
        <f>+INDEX('Budget révisé'!$A$2:$AO$500,MATCH($A301,'Budget révisé'!$A$2:$A$500,0),MATCH(G$2,'Budget révisé'!$A$2:$AO$2,0))</f>
        <v>0</v>
      </c>
      <c r="H301" s="204">
        <f t="shared" si="150"/>
        <v>0</v>
      </c>
      <c r="I301" s="193">
        <f>+INDEX('Budget révisé'!$A$2:$AO$500,MATCH($A301,'Budget révisé'!$A$2:$A$500,0),MATCH(I$2,'Budget révisé'!$A$2:$AO$2,0))</f>
        <v>6304.657699491182</v>
      </c>
      <c r="J301" s="225">
        <f>-SUMIFS(BV_Data_An_Cour!$P:$P,BV_Data_An_Cour!$Y:$Y,"Oui",BV_Data_An_Cour!$V:$V,$B301,BV_Data_An_Cour!$W:$W,$C301)</f>
        <v>0</v>
      </c>
      <c r="K301" s="530">
        <f t="shared" ref="K301:K303" si="160">IF(J301&lt;=0,0,L301/J301)</f>
        <v>0</v>
      </c>
      <c r="L301" s="193">
        <f>-SUMIFS(BV_Data_An_Cour!$P:$P,BV_Data_An_Cour!$V:$V,$B301,BV_Data_An_Cour!$W:$W,$C301,BV_Data_An_Cour!$X:$X,$L$2)</f>
        <v>0</v>
      </c>
      <c r="M301" s="318"/>
      <c r="N301" s="298">
        <f t="shared" ref="N301:N303" si="161">L301-I301</f>
        <v>-6304.657699491182</v>
      </c>
      <c r="O301" s="173">
        <f>-SUMIFS(BV_Data_An_Prec!$O:$O,BV_Data_An_Prec!$X:$X,"Oui",BV_Data_An_Prec!$U:$U,$B301,BV_Data_An_Prec!$V:$V,$C301)</f>
        <v>0</v>
      </c>
      <c r="P301" s="204">
        <f t="shared" si="147"/>
        <v>0</v>
      </c>
      <c r="Q301" s="193">
        <f>-SUMIFS(BV_Data_An_Prec!$O:$O,BV_Data_An_Prec!$U:$U,$B301,BV_Data_An_Prec!$V:$V,$C301,BV_Data_An_Prec!$W:$W,$L$2)</f>
        <v>11874.67</v>
      </c>
      <c r="R301" s="318">
        <f t="shared" si="151"/>
        <v>0</v>
      </c>
      <c r="S301" s="193">
        <f t="shared" ref="S301:S303" si="162">L301-Q301</f>
        <v>-11874.67</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3184</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3185</v>
      </c>
      <c r="B303" s="24" t="s">
        <v>175</v>
      </c>
      <c r="C303" s="321" t="s">
        <v>185</v>
      </c>
      <c r="D303" s="192">
        <f>SUM(D294:D302)</f>
        <v>380433.17935938592</v>
      </c>
      <c r="E303" s="322">
        <f>IF(D303&lt;=0,0,F303/D303)</f>
        <v>0.29967077821886035</v>
      </c>
      <c r="F303" s="194">
        <f>SUM(F294:F302)</f>
        <v>114004.70691890245</v>
      </c>
      <c r="G303" s="192">
        <f>SUM(G294:G302)</f>
        <v>380433.17935938592</v>
      </c>
      <c r="H303" s="322">
        <f>IF(G303&lt;=0,0,I303/G303)</f>
        <v>0.29967077821886035</v>
      </c>
      <c r="I303" s="194">
        <f>SUM(I294:I302)</f>
        <v>114004.70691890245</v>
      </c>
      <c r="J303" s="192">
        <f>SUM(J294:J302)</f>
        <v>0</v>
      </c>
      <c r="K303" s="322">
        <f t="shared" si="160"/>
        <v>0</v>
      </c>
      <c r="L303" s="323">
        <f>SUM(L294:L302)</f>
        <v>0</v>
      </c>
      <c r="M303" s="324">
        <f>(+J303-G303)/G303</f>
        <v>-1</v>
      </c>
      <c r="N303" s="323">
        <f t="shared" si="161"/>
        <v>-114004.70691890245</v>
      </c>
      <c r="O303" s="192">
        <f>SUM(O294:O302)</f>
        <v>328666.31</v>
      </c>
      <c r="P303" s="322">
        <f t="shared" si="147"/>
        <v>0.30683674271330097</v>
      </c>
      <c r="Q303" s="323">
        <f>SUM(Q294:Q302)</f>
        <v>100846.90000000001</v>
      </c>
      <c r="R303" s="324">
        <f>IF(O303=0,0,(J303-O303)/O303)</f>
        <v>-1</v>
      </c>
      <c r="S303" s="194">
        <f t="shared" si="162"/>
        <v>-100846.90000000001</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3186</v>
      </c>
      <c r="B306" s="24" t="s">
        <v>175</v>
      </c>
      <c r="C306" s="258" t="s">
        <v>186</v>
      </c>
      <c r="D306" s="191">
        <f>+INDEX('Budget original'!$A$2:$AO$500,MATCH($A306,'Budget original'!$A$2:$A$500,0),MATCH(D$2,'Budget original'!$A$2:$AO$2,0))</f>
        <v>84297.591738986535</v>
      </c>
      <c r="E306" s="204">
        <f t="shared" ref="E306:E307" si="163">IF(D306=0,0,F306/D306)</f>
        <v>0.1816444838198383</v>
      </c>
      <c r="F306" s="195">
        <f>+INDEX('Budget original'!$A$2:$AO$500,MATCH($A306,'Budget original'!$A$2:$A$500,0),MATCH(F$2,'Budget original'!$A$2:$AO$2,0))</f>
        <v>15312.192538683676</v>
      </c>
      <c r="G306" s="191">
        <f>+INDEX('Budget révisé'!$A$2:$AO$500,MATCH($A306,'Budget révisé'!$A$2:$A$500,0),MATCH(G$2,'Budget révisé'!$A$2:$AO$2,0))</f>
        <v>84297.591738986535</v>
      </c>
      <c r="H306" s="204">
        <f t="shared" ref="H306:H307" si="164">IF(G306=0,0,I306/G306)</f>
        <v>0.1816444838198383</v>
      </c>
      <c r="I306" s="195">
        <f>+INDEX('Budget révisé'!$A$2:$AO$500,MATCH($A306,'Budget révisé'!$A$2:$A$500,0),MATCH(I$2,'Budget révisé'!$A$2:$AO$2,0))</f>
        <v>15312.192538683676</v>
      </c>
      <c r="J306" s="173">
        <f>-SUMIFS(BV_Data_An_Cour!$P:$P,BV_Data_An_Cour!$Y:$Y,"Oui",BV_Data_An_Cour!$V:$V,$B306,BV_Data_An_Cour!$W:$W,$C306)</f>
        <v>0</v>
      </c>
      <c r="K306" s="530">
        <f t="shared" ref="K306:K308" si="165">IF(J306&lt;=0,0,L306/J306)</f>
        <v>0</v>
      </c>
      <c r="L306" s="195">
        <f>-SUMIFS(BV_Data_An_Cour!$P:$P,BV_Data_An_Cour!$V:$V,$B306,BV_Data_An_Cour!$W:$W,$C306,BV_Data_An_Cour!$X:$X,$L$2)</f>
        <v>0</v>
      </c>
      <c r="M306" s="318">
        <f t="shared" ref="M306:M308" si="166">(+J306-G306)/G306</f>
        <v>-1</v>
      </c>
      <c r="N306" s="298">
        <f t="shared" ref="N306:N308" si="167">L306-I306</f>
        <v>-15312.192538683676</v>
      </c>
      <c r="O306" s="173">
        <f>-SUMIFS(BV_Data_An_Prec!$O:$O,BV_Data_An_Prec!$X:$X,"Oui",BV_Data_An_Prec!$U:$U,$B306,BV_Data_An_Prec!$V:$V,$C306)</f>
        <v>69061.83</v>
      </c>
      <c r="P306" s="204">
        <f t="shared" ref="P306:P308" si="168">IF(O306&lt;=0,0,Q306/O306)</f>
        <v>0.17143174456859889</v>
      </c>
      <c r="Q306" s="195">
        <f>-SUMIFS(BV_Data_An_Prec!$O:$O,BV_Data_An_Prec!$U:$U,$B306,BV_Data_An_Prec!$V:$V,$C306,BV_Data_An_Prec!$W:$W,$L$2)</f>
        <v>11839.39</v>
      </c>
      <c r="R306" s="318">
        <f t="shared" ref="R306:R307" si="169">IF(O306=0,0,(J306-O306)/O306)</f>
        <v>-1</v>
      </c>
      <c r="S306" s="193">
        <f t="shared" ref="S306:S308" si="170">L306-Q306</f>
        <v>-11839.39</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3187</v>
      </c>
      <c r="B307" s="24" t="s">
        <v>175</v>
      </c>
      <c r="C307" s="320" t="s">
        <v>187</v>
      </c>
      <c r="D307" s="191">
        <f>+INDEX('Budget original'!$A$2:$AO$500,MATCH($A307,'Budget original'!$A$2:$A$500,0),MATCH(D$2,'Budget original'!$A$2:$AO$2,0))</f>
        <v>25270.450725764731</v>
      </c>
      <c r="E307" s="204">
        <f t="shared" si="163"/>
        <v>0.29130399895825637</v>
      </c>
      <c r="F307" s="196">
        <f>+INDEX('Budget original'!$A$2:$AO$500,MATCH($A307,'Budget original'!$A$2:$A$500,0),MATCH(F$2,'Budget original'!$A$2:$AO$2,0))</f>
        <v>7361.3833518928386</v>
      </c>
      <c r="G307" s="191">
        <f>+INDEX('Budget révisé'!$A$2:$AO$500,MATCH($A307,'Budget révisé'!$A$2:$A$500,0),MATCH(G$2,'Budget révisé'!$A$2:$AO$2,0))</f>
        <v>25270.450725764731</v>
      </c>
      <c r="H307" s="204">
        <f t="shared" si="164"/>
        <v>0.29130399895825637</v>
      </c>
      <c r="I307" s="196">
        <f>+INDEX('Budget révisé'!$A$2:$AO$500,MATCH($A307,'Budget révisé'!$A$2:$A$500,0),MATCH(I$2,'Budget révisé'!$A$2:$AO$2,0))</f>
        <v>7361.3833518928386</v>
      </c>
      <c r="J307" s="173">
        <f>-SUMIFS(BV_Data_An_Cour!$P:$P,BV_Data_An_Cour!$Y:$Y,"Oui",BV_Data_An_Cour!$V:$V,$B307,BV_Data_An_Cour!$W:$W,$C307)</f>
        <v>0</v>
      </c>
      <c r="K307" s="204">
        <f t="shared" si="165"/>
        <v>0</v>
      </c>
      <c r="L307" s="196">
        <f>-SUMIFS(BV_Data_An_Cour!$P:$P,BV_Data_An_Cour!$V:$V,$B307,BV_Data_An_Cour!$W:$W,$C307,BV_Data_An_Cour!$X:$X,$L$2)</f>
        <v>0</v>
      </c>
      <c r="M307" s="318">
        <f t="shared" si="166"/>
        <v>-1</v>
      </c>
      <c r="N307" s="298">
        <f t="shared" si="167"/>
        <v>-7361.3833518928386</v>
      </c>
      <c r="O307" s="173">
        <f>-SUMIFS(BV_Data_An_Prec!$O:$O,BV_Data_An_Prec!$X:$X,"Oui",BV_Data_An_Prec!$U:$U,$B307,BV_Data_An_Prec!$V:$V,$C307)</f>
        <v>22286.28</v>
      </c>
      <c r="P307" s="204">
        <f t="shared" si="168"/>
        <v>0.2765383006944182</v>
      </c>
      <c r="Q307" s="196">
        <f>-SUMIFS(BV_Data_An_Prec!$O:$O,BV_Data_An_Prec!$U:$U,$B307,BV_Data_An_Prec!$V:$V,$C307,BV_Data_An_Prec!$W:$W,$L$2)</f>
        <v>6163.0099999999984</v>
      </c>
      <c r="R307" s="318">
        <f t="shared" si="169"/>
        <v>-1</v>
      </c>
      <c r="S307" s="193">
        <f t="shared" si="170"/>
        <v>-6163.0099999999984</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3188</v>
      </c>
      <c r="B308" s="24" t="s">
        <v>175</v>
      </c>
      <c r="C308" s="321" t="s">
        <v>188</v>
      </c>
      <c r="D308" s="192">
        <f>D303+D306+D307</f>
        <v>490001.2218241372</v>
      </c>
      <c r="E308" s="322">
        <f>IF(D308&lt;=0,0,F308/D308)</f>
        <v>0.27893457551118755</v>
      </c>
      <c r="F308" s="323">
        <f t="shared" ref="F308" si="171">F303+F306+F307</f>
        <v>136678.28280947896</v>
      </c>
      <c r="G308" s="325">
        <f>G303+G306+G307</f>
        <v>490001.2218241372</v>
      </c>
      <c r="H308" s="322">
        <f>IF(G308&lt;=0,0,I308/G308)</f>
        <v>0.27893457551118755</v>
      </c>
      <c r="I308" s="323">
        <f t="shared" ref="I308" si="172">I303+I306+I307</f>
        <v>136678.28280947896</v>
      </c>
      <c r="J308" s="325">
        <f t="shared" ref="J308" si="173">J303+J306+J307</f>
        <v>0</v>
      </c>
      <c r="K308" s="322">
        <f t="shared" si="165"/>
        <v>0</v>
      </c>
      <c r="L308" s="323">
        <f>L303+L306+L307</f>
        <v>0</v>
      </c>
      <c r="M308" s="324">
        <f t="shared" si="166"/>
        <v>-1</v>
      </c>
      <c r="N308" s="323">
        <f t="shared" si="167"/>
        <v>-136678.28280947896</v>
      </c>
      <c r="O308" s="325">
        <f t="shared" ref="O308" si="174">O303+O306+O307</f>
        <v>420014.42000000004</v>
      </c>
      <c r="P308" s="322">
        <f t="shared" si="168"/>
        <v>0.28296480868442564</v>
      </c>
      <c r="Q308" s="323">
        <f>Q303+Q306+Q307</f>
        <v>118849.3</v>
      </c>
      <c r="R308" s="324">
        <f>IF(O308=0,0,(J308-O308)/O308)</f>
        <v>-1</v>
      </c>
      <c r="S308" s="194">
        <f t="shared" si="170"/>
        <v>-118849.3</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3189</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3190</v>
      </c>
      <c r="B313" s="24" t="s">
        <v>175</v>
      </c>
      <c r="C313" s="263" t="s">
        <v>190</v>
      </c>
      <c r="D313" s="26">
        <f>D308+D311</f>
        <v>490001.2218241372</v>
      </c>
      <c r="E313" s="71">
        <f>IF(D313&lt;=0,0,F313/D313)</f>
        <v>0.27893457551118755</v>
      </c>
      <c r="F313" s="28">
        <f t="shared" ref="F313" si="177">F308+F311</f>
        <v>136678.28280947896</v>
      </c>
      <c r="G313" s="29">
        <f>G308+G311</f>
        <v>490001.2218241372</v>
      </c>
      <c r="H313" s="71">
        <f>IF(G313&lt;=0,0,I313/G313)</f>
        <v>0.27893457551118755</v>
      </c>
      <c r="I313" s="28">
        <f t="shared" ref="I313" si="178">I308+I311</f>
        <v>136678.28280947896</v>
      </c>
      <c r="J313" s="29">
        <f t="shared" ref="J313" si="179">J308+J311</f>
        <v>0</v>
      </c>
      <c r="K313" s="71">
        <f>IF(J313&lt;=0,0,L313/J313)</f>
        <v>0</v>
      </c>
      <c r="L313" s="28">
        <f>L308+L311</f>
        <v>0</v>
      </c>
      <c r="M313" s="72">
        <f>(+J313-G313)/G313</f>
        <v>-1</v>
      </c>
      <c r="N313" s="73">
        <f>L313-I313</f>
        <v>-136678.28280947896</v>
      </c>
      <c r="O313" s="29">
        <f t="shared" ref="O313" si="180">O308+O311</f>
        <v>420014.42000000004</v>
      </c>
      <c r="P313" s="71">
        <f>IF(O313&lt;=0,0,Q313/O313)</f>
        <v>0.28296480868442564</v>
      </c>
      <c r="Q313" s="28">
        <f>Q308+Q311</f>
        <v>118849.3</v>
      </c>
      <c r="R313" s="72">
        <f>IF(O313=0,0,(J313-O313)/O313)</f>
        <v>-1</v>
      </c>
      <c r="S313" s="264">
        <f>L313-Q313</f>
        <v>-118849.3</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3191</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3192</v>
      </c>
      <c r="B317" s="24" t="s">
        <v>175</v>
      </c>
      <c r="C317" s="274" t="s">
        <v>112</v>
      </c>
      <c r="D317" s="227"/>
      <c r="E317" s="227"/>
      <c r="F317" s="225">
        <f>+INDEX('Budget original'!$A$2:$AO$500,MATCH($A317,'Budget original'!$A$2:$A$500,0),MATCH(F$2,'Budget original'!$A$2:$AO$2,0))</f>
        <v>2487.96091954023</v>
      </c>
      <c r="G317" s="221"/>
      <c r="H317" s="227"/>
      <c r="I317" s="225">
        <f>+INDEX('Budget révisé'!$A$2:$AO$500,MATCH($A317,'Budget révisé'!$A$2:$A$500,0),MATCH(I$2,'Budget révisé'!$A$2:$AO$2,0))</f>
        <v>2487.96091954023</v>
      </c>
      <c r="J317" s="221"/>
      <c r="K317" s="227"/>
      <c r="L317" s="275">
        <f>SUMIFS(BV_Data_An_Cour!$P:$P,BV_Data_An_Cour!$V:$V,$B317,BV_Data_An_Cour!$W:$W,$C317,BV_Data_An_Cour!$X:$X,$L$2)</f>
        <v>0</v>
      </c>
      <c r="M317" s="221"/>
      <c r="N317" s="226">
        <f t="shared" ref="N317:N328" si="181">L317-I317</f>
        <v>-2487.96091954023</v>
      </c>
      <c r="O317" s="221"/>
      <c r="P317" s="227"/>
      <c r="Q317" s="275">
        <f>SUMIFS(BV_Data_An_Prec!$O:$O,BV_Data_An_Prec!$U:$U,$B317,BV_Data_An_Prec!$V:$V,$C317,BV_Data_An_Prec!$W:$W,$L$2)</f>
        <v>4971.8599999999997</v>
      </c>
      <c r="R317" s="221"/>
      <c r="S317" s="506">
        <f>L317-Q317</f>
        <v>-4971.8599999999997</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3193</v>
      </c>
      <c r="B318" s="24" t="s">
        <v>175</v>
      </c>
      <c r="C318" s="276" t="s">
        <v>113</v>
      </c>
      <c r="D318" s="256"/>
      <c r="E318" s="227"/>
      <c r="F318" s="238">
        <f>+INDEX('Budget original'!$A$2:$AO$500,MATCH($A318,'Budget original'!$A$2:$A$500,0),MATCH(F$2,'Budget original'!$A$2:$AO$2,0))</f>
        <v>4171.6026932873565</v>
      </c>
      <c r="G318" s="277"/>
      <c r="H318" s="227"/>
      <c r="I318" s="238">
        <f>+INDEX('Budget révisé'!$A$2:$AO$500,MATCH($A318,'Budget révisé'!$A$2:$A$500,0),MATCH(I$2,'Budget révisé'!$A$2:$AO$2,0))</f>
        <v>4171.6026932873565</v>
      </c>
      <c r="J318" s="221"/>
      <c r="K318" s="227"/>
      <c r="L318" s="275">
        <f>SUMIFS(BV_Data_An_Cour!$P:$P,BV_Data_An_Cour!$V:$V,$B318,BV_Data_An_Cour!$W:$W,$C318,BV_Data_An_Cour!$X:$X,$L$2)</f>
        <v>0</v>
      </c>
      <c r="M318" s="221"/>
      <c r="N318" s="226">
        <f t="shared" si="181"/>
        <v>-4171.6026932873565</v>
      </c>
      <c r="O318" s="221"/>
      <c r="P318" s="227"/>
      <c r="Q318" s="275">
        <f>SUMIFS(BV_Data_An_Prec!$O:$O,BV_Data_An_Prec!$U:$U,$B318,BV_Data_An_Prec!$V:$V,$C318,BV_Data_An_Prec!$W:$W,$L$2)</f>
        <v>4084.13</v>
      </c>
      <c r="R318" s="221"/>
      <c r="S318" s="278">
        <f t="shared" ref="S318:S342" si="182">L318-Q318</f>
        <v>-4084.13</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3194</v>
      </c>
      <c r="B319" s="24" t="s">
        <v>175</v>
      </c>
      <c r="C319" s="274" t="s">
        <v>114</v>
      </c>
      <c r="D319" s="279"/>
      <c r="E319" s="280"/>
      <c r="F319" s="225">
        <f>+INDEX('Budget original'!$A$2:$AO$500,MATCH($A319,'Budget original'!$A$2:$A$500,0),MATCH(F$2,'Budget original'!$A$2:$AO$2,0))</f>
        <v>23500.879209931034</v>
      </c>
      <c r="G319" s="281"/>
      <c r="H319" s="280"/>
      <c r="I319" s="225">
        <f>+INDEX('Budget révisé'!$A$2:$AO$500,MATCH($A319,'Budget révisé'!$A$2:$A$500,0),MATCH(I$2,'Budget révisé'!$A$2:$AO$2,0))</f>
        <v>23500.879209931034</v>
      </c>
      <c r="J319" s="282"/>
      <c r="K319" s="280"/>
      <c r="L319" s="239">
        <f>SUMIFS(BV_Data_An_Cour!$P:$P,BV_Data_An_Cour!$V:$V,$B319,BV_Data_An_Cour!$W:$W,$C319,BV_Data_An_Cour!$X:$X,$L$2)</f>
        <v>0</v>
      </c>
      <c r="M319" s="282"/>
      <c r="N319" s="283">
        <f t="shared" si="181"/>
        <v>-23500.879209931034</v>
      </c>
      <c r="O319" s="282"/>
      <c r="P319" s="280"/>
      <c r="Q319" s="239">
        <f>SUMIFS(BV_Data_An_Prec!$O:$O,BV_Data_An_Prec!$U:$U,$B319,BV_Data_An_Prec!$V:$V,$C319,BV_Data_An_Prec!$W:$W,$L$2)</f>
        <v>21835.65</v>
      </c>
      <c r="R319" s="282"/>
      <c r="S319" s="284">
        <f t="shared" si="182"/>
        <v>-21835.65</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3195</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3182</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3182</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3182</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3196</v>
      </c>
      <c r="B324" s="24" t="s">
        <v>175</v>
      </c>
      <c r="C324" s="276" t="s">
        <v>116</v>
      </c>
      <c r="D324" s="256"/>
      <c r="E324" s="227"/>
      <c r="F324" s="238">
        <f>+INDEX('Budget original'!$A$2:$AO$500,MATCH($A324,'Budget original'!$A$2:$A$500,0),MATCH(F$2,'Budget original'!$A$2:$AO$2,0))</f>
        <v>3777.6323188809752</v>
      </c>
      <c r="G324" s="277"/>
      <c r="H324" s="227"/>
      <c r="I324" s="238">
        <f>+INDEX('Budget révisé'!$A$2:$AO$500,MATCH($A324,'Budget révisé'!$A$2:$A$500,0),MATCH(I$2,'Budget révisé'!$A$2:$AO$2,0))</f>
        <v>3777.6323188809752</v>
      </c>
      <c r="J324" s="221"/>
      <c r="K324" s="227"/>
      <c r="L324" s="275">
        <f>SUMIFS(BV_Data_An_Cour!$P:$P,BV_Data_An_Cour!$V:$V,$B324,BV_Data_An_Cour!$W:$W,$C324,BV_Data_An_Cour!$X:$X,$L$2)</f>
        <v>0</v>
      </c>
      <c r="M324" s="221"/>
      <c r="N324" s="226">
        <f t="shared" si="181"/>
        <v>-3777.6323188809752</v>
      </c>
      <c r="O324" s="221"/>
      <c r="P324" s="227"/>
      <c r="Q324" s="275">
        <f>SUMIFS(BV_Data_An_Prec!$O:$O,BV_Data_An_Prec!$U:$U,$B324,BV_Data_An_Prec!$V:$V,$C324,BV_Data_An_Prec!$W:$W,$L$2)</f>
        <v>3105.04</v>
      </c>
      <c r="R324" s="221"/>
      <c r="S324" s="278">
        <f t="shared" si="182"/>
        <v>-3105.04</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3197</v>
      </c>
      <c r="B325" s="24" t="s">
        <v>175</v>
      </c>
      <c r="C325" s="274" t="s">
        <v>117</v>
      </c>
      <c r="D325" s="279"/>
      <c r="E325" s="280"/>
      <c r="F325" s="225">
        <f>+INDEX('Budget original'!$A$2:$AO$500,MATCH($A325,'Budget original'!$A$2:$A$500,0),MATCH(F$2,'Budget original'!$A$2:$AO$2,0))</f>
        <v>3383.2569705133797</v>
      </c>
      <c r="G325" s="281"/>
      <c r="H325" s="280"/>
      <c r="I325" s="225">
        <f>+INDEX('Budget révisé'!$A$2:$AO$500,MATCH($A325,'Budget révisé'!$A$2:$A$500,0),MATCH(I$2,'Budget révisé'!$A$2:$AO$2,0))</f>
        <v>3383.2569705133797</v>
      </c>
      <c r="J325" s="282"/>
      <c r="K325" s="280"/>
      <c r="L325" s="239">
        <f>SUMIFS(BV_Data_An_Cour!$P:$P,BV_Data_An_Cour!$V:$V,$B325,BV_Data_An_Cour!$W:$W,$C325,BV_Data_An_Cour!$X:$X,$L$2)</f>
        <v>0</v>
      </c>
      <c r="M325" s="282"/>
      <c r="N325" s="283">
        <f t="shared" si="181"/>
        <v>-3383.2569705133797</v>
      </c>
      <c r="O325" s="282"/>
      <c r="P325" s="280"/>
      <c r="Q325" s="239">
        <f>SUMIFS(BV_Data_An_Prec!$O:$O,BV_Data_An_Prec!$U:$U,$B325,BV_Data_An_Prec!$V:$V,$C325,BV_Data_An_Prec!$W:$W,$L$2)</f>
        <v>41.18</v>
      </c>
      <c r="R325" s="282"/>
      <c r="S325" s="284">
        <f t="shared" si="182"/>
        <v>-41.18</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3198</v>
      </c>
      <c r="B326" s="24" t="s">
        <v>175</v>
      </c>
      <c r="C326" s="274" t="s">
        <v>118</v>
      </c>
      <c r="D326" s="256"/>
      <c r="E326" s="227"/>
      <c r="F326" s="225">
        <f>+INDEX('Budget original'!$A$2:$AO$500,MATCH($A326,'Budget original'!$A$2:$A$500,0),MATCH(F$2,'Budget original'!$A$2:$AO$2,0))</f>
        <v>2686.7040648194488</v>
      </c>
      <c r="G326" s="277"/>
      <c r="H326" s="227"/>
      <c r="I326" s="225">
        <f>+INDEX('Budget révisé'!$A$2:$AO$500,MATCH($A326,'Budget révisé'!$A$2:$A$500,0),MATCH(I$2,'Budget révisé'!$A$2:$AO$2,0))</f>
        <v>2686.7040648194488</v>
      </c>
      <c r="J326" s="221"/>
      <c r="K326" s="227"/>
      <c r="L326" s="275">
        <f>SUMIFS(BV_Data_An_Cour!$P:$P,BV_Data_An_Cour!$V:$V,$B326,BV_Data_An_Cour!$W:$W,$C326,BV_Data_An_Cour!$X:$X,$L$2)</f>
        <v>0</v>
      </c>
      <c r="M326" s="221"/>
      <c r="N326" s="226">
        <f t="shared" si="181"/>
        <v>-2686.7040648194488</v>
      </c>
      <c r="O326" s="221"/>
      <c r="P326" s="227"/>
      <c r="Q326" s="275">
        <f>SUMIFS(BV_Data_An_Prec!$O:$O,BV_Data_An_Prec!$U:$U,$B326,BV_Data_An_Prec!$V:$V,$C326,BV_Data_An_Prec!$W:$W,$L$2)</f>
        <v>2113.67</v>
      </c>
      <c r="R326" s="221"/>
      <c r="S326" s="278">
        <f t="shared" si="182"/>
        <v>-2113.67</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3199</v>
      </c>
      <c r="B327" s="24" t="s">
        <v>175</v>
      </c>
      <c r="C327" s="274" t="s">
        <v>119</v>
      </c>
      <c r="D327" s="256"/>
      <c r="E327" s="227"/>
      <c r="F327" s="225">
        <f>+INDEX('Budget original'!$A$2:$AO$500,MATCH($A327,'Budget original'!$A$2:$A$500,0),MATCH(F$2,'Budget original'!$A$2:$AO$2,0))</f>
        <v>1094.5831375190346</v>
      </c>
      <c r="G327" s="277"/>
      <c r="H327" s="227"/>
      <c r="I327" s="225">
        <f>+INDEX('Budget révisé'!$A$2:$AO$500,MATCH($A327,'Budget révisé'!$A$2:$A$500,0),MATCH(I$2,'Budget révisé'!$A$2:$AO$2,0))</f>
        <v>1094.5831375190346</v>
      </c>
      <c r="J327" s="221"/>
      <c r="K327" s="227"/>
      <c r="L327" s="275">
        <f>SUMIFS(BV_Data_An_Cour!$P:$P,BV_Data_An_Cour!$V:$V,$B327,BV_Data_An_Cour!$W:$W,$C327,BV_Data_An_Cour!$X:$X,$L$2)</f>
        <v>0</v>
      </c>
      <c r="M327" s="221"/>
      <c r="N327" s="226">
        <f t="shared" si="181"/>
        <v>-1094.5831375190346</v>
      </c>
      <c r="O327" s="221"/>
      <c r="P327" s="227"/>
      <c r="Q327" s="275">
        <f>SUMIFS(BV_Data_An_Prec!$O:$O,BV_Data_An_Prec!$U:$U,$B327,BV_Data_An_Prec!$V:$V,$C327,BV_Data_An_Prec!$W:$W,$L$2)</f>
        <v>3399.66</v>
      </c>
      <c r="R327" s="221"/>
      <c r="S327" s="278">
        <f t="shared" si="182"/>
        <v>-3399.66</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3182</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3200</v>
      </c>
      <c r="B329" s="24" t="s">
        <v>175</v>
      </c>
      <c r="C329" s="292" t="s">
        <v>120</v>
      </c>
      <c r="D329" s="39" t="s">
        <v>111</v>
      </c>
      <c r="E329" s="40">
        <f>F329/F$313</f>
        <v>0.30072531253400336</v>
      </c>
      <c r="F329" s="41">
        <f>+SUM(F317:F328)</f>
        <v>41102.619314491458</v>
      </c>
      <c r="G329" s="42" t="s">
        <v>111</v>
      </c>
      <c r="H329" s="40">
        <f>I329/I$313</f>
        <v>0.30072531253400336</v>
      </c>
      <c r="I329" s="41">
        <f>+SUM(I317:I328)</f>
        <v>41102.619314491458</v>
      </c>
      <c r="J329" s="42" t="s">
        <v>111</v>
      </c>
      <c r="K329" s="40" t="e">
        <f>L329/L$313</f>
        <v>#DIV/0!</v>
      </c>
      <c r="L329" s="41">
        <f>+SUM(L317:L328)</f>
        <v>0</v>
      </c>
      <c r="M329" s="43"/>
      <c r="N329" s="46">
        <f t="shared" ref="N329:N342" si="185">L329-I329</f>
        <v>-41102.619314491458</v>
      </c>
      <c r="O329" s="42" t="s">
        <v>111</v>
      </c>
      <c r="P329" s="40">
        <f>Q329/Q$313</f>
        <v>0.33278437483434908</v>
      </c>
      <c r="Q329" s="41">
        <f>+SUM(Q317:Q328)</f>
        <v>39551.19</v>
      </c>
      <c r="R329" s="43"/>
      <c r="S329" s="293">
        <f t="shared" si="182"/>
        <v>-39551.19</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3201</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0</v>
      </c>
      <c r="M330" s="297"/>
      <c r="N330" s="298">
        <f t="shared" si="185"/>
        <v>-3725.4874999999997</v>
      </c>
      <c r="O330" s="297"/>
      <c r="P330" s="172"/>
      <c r="Q330" s="275">
        <f>SUMIFS(BV_Data_An_Prec!$O:$O,BV_Data_An_Prec!$U:$U,$B330,BV_Data_An_Prec!$V:$V,$C330,BV_Data_An_Prec!$W:$W,$L$2)</f>
        <v>3210.78</v>
      </c>
      <c r="R330" s="297"/>
      <c r="S330" s="193">
        <f t="shared" si="182"/>
        <v>-3210.78</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3202</v>
      </c>
      <c r="B331" s="24" t="s">
        <v>175</v>
      </c>
      <c r="C331" s="299" t="s">
        <v>122</v>
      </c>
      <c r="D331" s="295"/>
      <c r="E331" s="172"/>
      <c r="F331" s="173">
        <f>+INDEX('Budget original'!$A$2:$AO$500,MATCH($A331,'Budget original'!$A$2:$A$500,0),MATCH(F$2,'Budget original'!$A$2:$AO$2,0))</f>
        <v>802.35495347336871</v>
      </c>
      <c r="G331" s="296"/>
      <c r="H331" s="172"/>
      <c r="I331" s="173">
        <f>+INDEX('Budget révisé'!$A$2:$AO$500,MATCH($A331,'Budget révisé'!$A$2:$A$500,0),MATCH(I$2,'Budget révisé'!$A$2:$AO$2,0))</f>
        <v>802.35495347336871</v>
      </c>
      <c r="J331" s="297"/>
      <c r="K331" s="172"/>
      <c r="L331" s="174">
        <f>SUMIFS(BV_Data_An_Cour!$P:$P,BV_Data_An_Cour!$V:$V,$B331,BV_Data_An_Cour!$W:$W,$C331,BV_Data_An_Cour!$X:$X,$L$2)</f>
        <v>0</v>
      </c>
      <c r="M331" s="297"/>
      <c r="N331" s="298">
        <f t="shared" si="185"/>
        <v>-802.35495347336871</v>
      </c>
      <c r="O331" s="297"/>
      <c r="P331" s="172"/>
      <c r="Q331" s="174">
        <f>SUMIFS(BV_Data_An_Prec!$O:$O,BV_Data_An_Prec!$U:$U,$B331,BV_Data_An_Prec!$V:$V,$C331,BV_Data_An_Prec!$W:$W,$L$2)</f>
        <v>1487.05</v>
      </c>
      <c r="R331" s="297"/>
      <c r="S331" s="193">
        <f t="shared" si="182"/>
        <v>-1487.05</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3203</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0</v>
      </c>
      <c r="M332" s="304"/>
      <c r="N332" s="305">
        <f t="shared" si="185"/>
        <v>-433.5</v>
      </c>
      <c r="O332" s="304"/>
      <c r="P332" s="302"/>
      <c r="Q332" s="174">
        <f>SUMIFS(BV_Data_An_Prec!$O:$O,BV_Data_An_Prec!$U:$U,$B332,BV_Data_An_Prec!$V:$V,$C332,BV_Data_An_Prec!$W:$W,$L$2)</f>
        <v>290.89</v>
      </c>
      <c r="R332" s="304"/>
      <c r="S332" s="196">
        <f t="shared" si="182"/>
        <v>-290.89</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3204</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0</v>
      </c>
      <c r="M333" s="297"/>
      <c r="N333" s="298">
        <f t="shared" si="185"/>
        <v>-3489.4852291666666</v>
      </c>
      <c r="O333" s="297"/>
      <c r="P333" s="172"/>
      <c r="Q333" s="175">
        <f>SUMIFS(BV_Data_An_Prec!$O:$O,BV_Data_An_Prec!$U:$U,$B333,BV_Data_An_Prec!$V:$V,$C333,BV_Data_An_Prec!$W:$W,$L$2)</f>
        <v>3706.64</v>
      </c>
      <c r="R333" s="297"/>
      <c r="S333" s="193">
        <f t="shared" si="182"/>
        <v>-3706.64</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3205</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0</v>
      </c>
      <c r="M334" s="297"/>
      <c r="N334" s="298">
        <f t="shared" si="185"/>
        <v>-618.86078125000006</v>
      </c>
      <c r="O334" s="297"/>
      <c r="P334" s="172"/>
      <c r="Q334" s="174">
        <f>SUMIFS(BV_Data_An_Prec!$O:$O,BV_Data_An_Prec!$U:$U,$B334,BV_Data_An_Prec!$V:$V,$C334,BV_Data_An_Prec!$W:$W,$L$2)</f>
        <v>638.12</v>
      </c>
      <c r="R334" s="297"/>
      <c r="S334" s="193">
        <f t="shared" si="182"/>
        <v>-638.12</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3206</v>
      </c>
      <c r="B335" s="24" t="s">
        <v>175</v>
      </c>
      <c r="C335" s="679" t="s">
        <v>126</v>
      </c>
      <c r="D335" s="301"/>
      <c r="E335" s="302"/>
      <c r="F335" s="171">
        <f>+INDEX('Budget original'!$A$2:$AO$500,MATCH($A335,'Budget original'!$A$2:$A$500,0),MATCH(F$2,'Budget original'!$A$2:$AO$2,0))</f>
        <v>7740.1897888888889</v>
      </c>
      <c r="G335" s="303"/>
      <c r="H335" s="302"/>
      <c r="I335" s="171">
        <f>+INDEX('Budget révisé'!$A$2:$AO$500,MATCH($A335,'Budget révisé'!$A$2:$A$500,0),MATCH(I$2,'Budget révisé'!$A$2:$AO$2,0))</f>
        <v>7740.1897888888889</v>
      </c>
      <c r="J335" s="304"/>
      <c r="K335" s="302"/>
      <c r="L335" s="399">
        <f>SUMIFS(BV_Data_An_Cour!$P:$P,BV_Data_An_Cour!$V:$V,$B335,BV_Data_An_Cour!$W:$W,$C335,BV_Data_An_Cour!$X:$X,$L$2)</f>
        <v>0</v>
      </c>
      <c r="M335" s="304"/>
      <c r="N335" s="305">
        <f t="shared" si="185"/>
        <v>-7740.1897888888889</v>
      </c>
      <c r="O335" s="304"/>
      <c r="P335" s="302"/>
      <c r="Q335" s="399">
        <f>SUMIFS(BV_Data_An_Prec!$O:$O,BV_Data_An_Prec!$U:$U,$B335,BV_Data_An_Prec!$V:$V,$C335,BV_Data_An_Prec!$W:$W,$L$2)</f>
        <v>6984.46</v>
      </c>
      <c r="R335" s="304"/>
      <c r="S335" s="196">
        <f t="shared" si="182"/>
        <v>-6984.46</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3207</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3208</v>
      </c>
      <c r="B337" s="24" t="s">
        <v>175</v>
      </c>
      <c r="C337" s="299" t="s">
        <v>127</v>
      </c>
      <c r="D337" s="295"/>
      <c r="E337" s="172"/>
      <c r="F337" s="173">
        <f>+INDEX('Budget original'!$A$2:$AO$500,MATCH($A337,'Budget original'!$A$2:$A$500,0),MATCH(F$2,'Budget original'!$A$2:$AO$2,0))</f>
        <v>89.804909921362054</v>
      </c>
      <c r="G337" s="296"/>
      <c r="H337" s="172"/>
      <c r="I337" s="173">
        <f>+INDEX('Budget révisé'!$A$2:$AO$500,MATCH($A337,'Budget révisé'!$A$2:$A$500,0),MATCH(I$2,'Budget révisé'!$A$2:$AO$2,0))</f>
        <v>89.804909921362054</v>
      </c>
      <c r="J337" s="297"/>
      <c r="K337" s="172"/>
      <c r="L337" s="174">
        <f>SUMIFS(BV_Data_An_Cour!$P:$P,BV_Data_An_Cour!$V:$V,$B337,BV_Data_An_Cour!$W:$W,$C337,BV_Data_An_Cour!$X:$X,$L$2)</f>
        <v>0</v>
      </c>
      <c r="M337" s="297"/>
      <c r="N337" s="298">
        <f t="shared" si="185"/>
        <v>-89.804909921362054</v>
      </c>
      <c r="O337" s="297"/>
      <c r="P337" s="172"/>
      <c r="Q337" s="174">
        <f>SUMIFS(BV_Data_An_Prec!$O:$O,BV_Data_An_Prec!$U:$U,$B337,BV_Data_An_Prec!$V:$V,$C337,BV_Data_An_Prec!$W:$W,$L$2)</f>
        <v>87.74</v>
      </c>
      <c r="R337" s="297"/>
      <c r="S337" s="193">
        <f t="shared" si="182"/>
        <v>-87.74</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3209</v>
      </c>
      <c r="B338" s="24" t="s">
        <v>175</v>
      </c>
      <c r="C338" s="299" t="s">
        <v>128</v>
      </c>
      <c r="D338" s="295"/>
      <c r="E338" s="172"/>
      <c r="F338" s="173">
        <f>+INDEX('Budget original'!$A$2:$AO$500,MATCH($A338,'Budget original'!$A$2:$A$500,0),MATCH(F$2,'Budget original'!$A$2:$AO$2,0))</f>
        <v>47.719968360328004</v>
      </c>
      <c r="G338" s="296"/>
      <c r="H338" s="172"/>
      <c r="I338" s="173">
        <f>+INDEX('Budget révisé'!$A$2:$AO$500,MATCH($A338,'Budget révisé'!$A$2:$A$500,0),MATCH(I$2,'Budget révisé'!$A$2:$AO$2,0))</f>
        <v>47.719968360328004</v>
      </c>
      <c r="J338" s="297"/>
      <c r="K338" s="172"/>
      <c r="L338" s="174">
        <f>SUMIFS(BV_Data_An_Cour!$P:$P,BV_Data_An_Cour!$V:$V,$B338,BV_Data_An_Cour!$W:$W,$C338,BV_Data_An_Cour!$X:$X,$L$2)</f>
        <v>0</v>
      </c>
      <c r="M338" s="297"/>
      <c r="N338" s="298">
        <f t="shared" si="185"/>
        <v>-47.719968360328004</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3210</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0</v>
      </c>
      <c r="M339" s="297"/>
      <c r="N339" s="298">
        <f t="shared" si="185"/>
        <v>-510.05025000000001</v>
      </c>
      <c r="O339" s="297"/>
      <c r="P339" s="172"/>
      <c r="Q339" s="548">
        <f>SUMIFS(BV_Data_An_Prec!$O:$O,BV_Data_An_Prec!$U:$U,$B339,BV_Data_An_Prec!$V:$V,$C339,BV_Data_An_Prec!$W:$W,$L$2)</f>
        <v>642.08000000000004</v>
      </c>
      <c r="R339" s="297"/>
      <c r="S339" s="193">
        <f t="shared" si="182"/>
        <v>-642.08000000000004</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3211</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0</v>
      </c>
      <c r="M340" s="297"/>
      <c r="N340" s="298">
        <f t="shared" si="185"/>
        <v>-235.51916145833334</v>
      </c>
      <c r="O340" s="297"/>
      <c r="P340" s="172"/>
      <c r="Q340" s="174">
        <f>SUMIFS(BV_Data_An_Prec!$O:$O,BV_Data_An_Prec!$U:$U,$B340,BV_Data_An_Prec!$V:$V,$C340,BV_Data_An_Prec!$W:$W,$L$2)</f>
        <v>78.47</v>
      </c>
      <c r="R340" s="297"/>
      <c r="S340" s="193">
        <f t="shared" si="182"/>
        <v>-78.47</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3212</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0</v>
      </c>
      <c r="M341" s="297"/>
      <c r="N341" s="298">
        <f t="shared" si="185"/>
        <v>-125.71646354166664</v>
      </c>
      <c r="O341" s="297"/>
      <c r="P341" s="172"/>
      <c r="Q341" s="174">
        <f>SUMIFS(BV_Data_An_Prec!$O:$O,BV_Data_An_Prec!$U:$U,$B341,BV_Data_An_Prec!$V:$V,$C341,BV_Data_An_Prec!$W:$W,$L$2)</f>
        <v>105.4</v>
      </c>
      <c r="R341" s="297"/>
      <c r="S341" s="193">
        <f t="shared" si="182"/>
        <v>-105.4</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3213</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0</v>
      </c>
      <c r="M342" s="297"/>
      <c r="N342" s="298">
        <f t="shared" si="185"/>
        <v>-606.4324947916665</v>
      </c>
      <c r="O342" s="297"/>
      <c r="P342" s="172"/>
      <c r="Q342" s="174">
        <f>SUMIFS(BV_Data_An_Prec!$O:$O,BV_Data_An_Prec!$U:$U,$B342,BV_Data_An_Prec!$V:$V,$C342,BV_Data_An_Prec!$W:$W,$L$2)</f>
        <v>1060.81</v>
      </c>
      <c r="R342" s="297"/>
      <c r="S342" s="193">
        <f t="shared" si="182"/>
        <v>-1060.81</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3214</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0</v>
      </c>
      <c r="M343" s="297"/>
      <c r="N343" s="298">
        <f t="shared" ref="N343:N347" si="188">L343-I343</f>
        <v>-900.98145833333331</v>
      </c>
      <c r="O343" s="297"/>
      <c r="P343" s="172"/>
      <c r="Q343" s="174">
        <f>SUMIFS(BV_Data_An_Prec!$O:$O,BV_Data_An_Prec!$U:$U,$B343,BV_Data_An_Prec!$V:$V,$C343,BV_Data_An_Prec!$W:$W,$L$2)</f>
        <v>22.14</v>
      </c>
      <c r="R343" s="297"/>
      <c r="S343" s="193">
        <f t="shared" ref="S343:S347" si="189">L343-Q343</f>
        <v>-22.14</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3215</v>
      </c>
      <c r="B344" s="24" t="s">
        <v>175</v>
      </c>
      <c r="C344" s="299" t="s">
        <v>134</v>
      </c>
      <c r="D344" s="295"/>
      <c r="E344" s="172"/>
      <c r="F344" s="173">
        <f>+INDEX('Budget original'!$A$2:$AO$500,MATCH($A344,'Budget original'!$A$2:$A$500,0),MATCH(F$2,'Budget original'!$A$2:$AO$2,0))</f>
        <v>2333.4036667516821</v>
      </c>
      <c r="G344" s="296"/>
      <c r="H344" s="172"/>
      <c r="I344" s="173">
        <f>+INDEX('Budget révisé'!$A$2:$AO$500,MATCH($A344,'Budget révisé'!$A$2:$A$500,0),MATCH(I$2,'Budget révisé'!$A$2:$AO$2,0))</f>
        <v>2333.4036667516821</v>
      </c>
      <c r="J344" s="297"/>
      <c r="K344" s="172"/>
      <c r="L344" s="961">
        <f>AF447*W7</f>
        <v>0</v>
      </c>
      <c r="M344" s="297"/>
      <c r="N344" s="298">
        <f t="shared" si="188"/>
        <v>-2333.4036667516821</v>
      </c>
      <c r="O344" s="297"/>
      <c r="P344" s="172"/>
      <c r="Q344" s="275">
        <f>AL447*W7</f>
        <v>1822.83</v>
      </c>
      <c r="R344" s="297"/>
      <c r="S344" s="193">
        <f t="shared" si="189"/>
        <v>-1822.83</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3182</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3182</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3182</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0.15847072541970181</v>
      </c>
      <c r="F348" s="41">
        <f>+SUM(F330:F347)</f>
        <v>21659.506625937291</v>
      </c>
      <c r="G348" s="42" t="s">
        <v>111</v>
      </c>
      <c r="H348" s="40">
        <f>I348/I$313</f>
        <v>0.15847072541970181</v>
      </c>
      <c r="I348" s="41">
        <f>+SUM(I330:I347)</f>
        <v>21659.506625937291</v>
      </c>
      <c r="J348" s="42" t="s">
        <v>111</v>
      </c>
      <c r="K348" s="40" t="e">
        <f>L348/L$313</f>
        <v>#DIV/0!</v>
      </c>
      <c r="L348" s="41">
        <f>+SUM(L330:L347)</f>
        <v>0</v>
      </c>
      <c r="M348" s="44"/>
      <c r="N348" s="41">
        <f>+SUM(N330:N347)</f>
        <v>-21659.506625937291</v>
      </c>
      <c r="O348" s="42" t="s">
        <v>111</v>
      </c>
      <c r="P348" s="40">
        <f>Q348/Q$313</f>
        <v>0.16943650488475751</v>
      </c>
      <c r="Q348" s="41">
        <f>+SUM(Q330:Q347)</f>
        <v>20137.410000000011</v>
      </c>
      <c r="R348" s="44"/>
      <c r="S348" s="310">
        <f>+SUM(S330:S347)</f>
        <v>-20137.410000000011</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0.45919603795370517</v>
      </c>
      <c r="F350" s="41">
        <f>F329+F348</f>
        <v>62762.125940428748</v>
      </c>
      <c r="G350" s="42" t="s">
        <v>111</v>
      </c>
      <c r="H350" s="40">
        <f>I350/I$313</f>
        <v>0.45919603795370517</v>
      </c>
      <c r="I350" s="41">
        <f>I329+I348</f>
        <v>62762.125940428748</v>
      </c>
      <c r="J350" s="42" t="s">
        <v>111</v>
      </c>
      <c r="K350" s="40" t="e">
        <f>L350/L$313</f>
        <v>#DIV/0!</v>
      </c>
      <c r="L350" s="41">
        <f>L329+L348</f>
        <v>0</v>
      </c>
      <c r="M350" s="44"/>
      <c r="N350" s="46">
        <f t="shared" ref="N350:N351" si="190">L350-I350</f>
        <v>-62762.125940428748</v>
      </c>
      <c r="O350" s="42" t="s">
        <v>111</v>
      </c>
      <c r="P350" s="40">
        <f>Q350/Q$313</f>
        <v>0.50222087971910656</v>
      </c>
      <c r="Q350" s="41">
        <f>Q329+Q348</f>
        <v>59688.600000000013</v>
      </c>
      <c r="R350" s="44"/>
      <c r="S350" s="293">
        <f>L350-Q350</f>
        <v>-59688.600000000013</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73916.156869050203</v>
      </c>
      <c r="G352" s="338"/>
      <c r="H352" s="336"/>
      <c r="I352" s="337">
        <f>I313-I350</f>
        <v>73916.156869050203</v>
      </c>
      <c r="J352" s="339"/>
      <c r="K352" s="340"/>
      <c r="L352" s="337">
        <f>L313-L350</f>
        <v>0</v>
      </c>
      <c r="M352" s="339"/>
      <c r="N352" s="337">
        <f>L352-I352</f>
        <v>-73916.156869050203</v>
      </c>
      <c r="O352" s="339"/>
      <c r="P352" s="340"/>
      <c r="Q352" s="337">
        <f>Q313-Q350</f>
        <v>59160.69999999999</v>
      </c>
      <c r="R352" s="339"/>
      <c r="S352" s="341">
        <f>L352-Q352</f>
        <v>-59160.69999999999</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91" t="str">
        <f>+C290</f>
        <v>Volks</v>
      </c>
      <c r="D355" s="19"/>
      <c r="E355" s="19"/>
      <c r="F355" s="19"/>
      <c r="G355" s="19"/>
      <c r="H355" s="18"/>
      <c r="I355" s="18"/>
      <c r="J355" s="18"/>
      <c r="K355" s="5" t="s">
        <v>191</v>
      </c>
      <c r="L355" s="19"/>
      <c r="M355" s="19"/>
      <c r="N355" s="18"/>
      <c r="O355" s="18"/>
      <c r="P355" s="19"/>
      <c r="Q355" s="18"/>
      <c r="R355" s="19"/>
      <c r="S355" s="6" t="str">
        <f>$S$1</f>
        <v>Réalisé, Octobre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21" t="s">
        <v>77</v>
      </c>
      <c r="E357" s="1422"/>
      <c r="F357" s="1423"/>
      <c r="G357" s="1424" t="s">
        <v>145</v>
      </c>
      <c r="H357" s="1422"/>
      <c r="I357" s="1423"/>
      <c r="J357" s="1424" t="s">
        <v>79</v>
      </c>
      <c r="K357" s="1422"/>
      <c r="L357" s="1423"/>
      <c r="M357" s="1424" t="s">
        <v>80</v>
      </c>
      <c r="N357" s="1423"/>
      <c r="O357" s="1421" t="s">
        <v>81</v>
      </c>
      <c r="P357" s="1422"/>
      <c r="Q357" s="1423"/>
      <c r="R357" s="1424" t="s">
        <v>82</v>
      </c>
      <c r="S357" s="1425"/>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3216</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3217</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3218</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3219</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3220</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3221</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3222</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3223</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3223</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3223</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3224</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3225</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3226</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3227</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3223</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3228</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3229</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3230</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3231</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3232</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3233</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3234</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3235</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3236</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3237</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3238</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3239</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3240</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3241</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3242</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3223</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3223</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3223</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47" t="s">
        <v>3301</v>
      </c>
      <c r="E401" s="1325" t="s">
        <v>3343</v>
      </c>
      <c r="F401" s="1326"/>
      <c r="G401" s="1326"/>
      <c r="H401" s="1326"/>
      <c r="I401" s="1326"/>
      <c r="V401" s="1304" t="str">
        <f>C1</f>
        <v>Volks</v>
      </c>
      <c r="W401" s="21"/>
      <c r="X401" s="21"/>
      <c r="Y401" s="21"/>
      <c r="Z401" s="18"/>
      <c r="AA401" s="18"/>
      <c r="AB401" s="21"/>
      <c r="AC401" s="21"/>
      <c r="AD401" s="18"/>
      <c r="AE401" s="1305" t="s">
        <v>193</v>
      </c>
      <c r="AF401" s="21"/>
      <c r="AG401" s="21"/>
      <c r="AH401" s="18"/>
      <c r="AI401" s="18"/>
      <c r="AJ401" s="80"/>
      <c r="AK401" s="19"/>
      <c r="AL401" s="18"/>
      <c r="AM401" s="21"/>
      <c r="AN401" s="21"/>
      <c r="AO401" s="1306" t="str">
        <f>$S$1</f>
        <v>Réalisé, Octobre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47" t="s">
        <v>3301</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3243</v>
      </c>
      <c r="B403" s="2"/>
      <c r="C403" s="1247" t="s">
        <v>3301</v>
      </c>
      <c r="V403" s="434"/>
      <c r="W403" s="435"/>
      <c r="X403" s="1426" t="s">
        <v>194</v>
      </c>
      <c r="Y403" s="1419"/>
      <c r="Z403" s="1427"/>
      <c r="AA403" s="1418" t="s">
        <v>145</v>
      </c>
      <c r="AB403" s="1419"/>
      <c r="AC403" s="1427"/>
      <c r="AD403" s="1418" t="s">
        <v>79</v>
      </c>
      <c r="AE403" s="1419"/>
      <c r="AF403" s="1427"/>
      <c r="AG403" s="1418" t="s">
        <v>195</v>
      </c>
      <c r="AH403" s="1419"/>
      <c r="AI403" s="1427"/>
      <c r="AJ403" s="1418" t="s">
        <v>196</v>
      </c>
      <c r="AK403" s="1419"/>
      <c r="AL403" s="1419"/>
      <c r="AM403" s="1418" t="s">
        <v>197</v>
      </c>
      <c r="AN403" s="1419"/>
      <c r="AO403" s="1420"/>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3243</v>
      </c>
      <c r="B404" s="2"/>
      <c r="C404" s="1247" t="s">
        <v>3301</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47" t="s">
        <v>3301</v>
      </c>
      <c r="V405" s="300" t="s">
        <v>88</v>
      </c>
      <c r="W405" s="439"/>
      <c r="X405" s="439"/>
      <c r="Y405" s="439"/>
      <c r="Z405" s="440">
        <f>F5+F93+E193+E249+D313+D361</f>
        <v>5228481.00075112</v>
      </c>
      <c r="AA405" s="439"/>
      <c r="AB405" s="439"/>
      <c r="AC405" s="440">
        <f>I5+I93+H193+H249+G313+G361</f>
        <v>5228481.00075112</v>
      </c>
      <c r="AD405" s="441"/>
      <c r="AE405" s="442"/>
      <c r="AF405" s="442">
        <f>L5+L93+K193+K249+J313+J361</f>
        <v>0</v>
      </c>
      <c r="AG405" s="441"/>
      <c r="AH405" s="442"/>
      <c r="AI405" s="443"/>
      <c r="AJ405" s="441"/>
      <c r="AK405" s="442"/>
      <c r="AL405" s="442">
        <f>Q5+Q93+P193+P249+O313+O361</f>
        <v>5121226.49</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47" t="s">
        <v>3301</v>
      </c>
      <c r="V406" s="446" t="s">
        <v>205</v>
      </c>
      <c r="W406" s="81"/>
      <c r="X406" s="81"/>
      <c r="Y406" s="81"/>
      <c r="Z406" s="82">
        <f>F27+F107+F193+F249+F313+F361</f>
        <v>724484.02574821387</v>
      </c>
      <c r="AA406" s="81"/>
      <c r="AB406" s="81"/>
      <c r="AC406" s="82">
        <f>I27+I107+I193+I249+I313+I361</f>
        <v>724484.02574821387</v>
      </c>
      <c r="AD406" s="83"/>
      <c r="AE406" s="84"/>
      <c r="AF406" s="84">
        <f>L27+L107+L193+L249+L313+L361</f>
        <v>0</v>
      </c>
      <c r="AG406" s="83"/>
      <c r="AH406" s="84">
        <f>AF406-AC406</f>
        <v>-724484.02574821387</v>
      </c>
      <c r="AI406" s="85">
        <f>AH406/AC406</f>
        <v>-1</v>
      </c>
      <c r="AJ406" s="83"/>
      <c r="AK406" s="84"/>
      <c r="AL406" s="84">
        <f>Q27+Q107+Q193+Q249+Q313+Q361</f>
        <v>695937.70000000007</v>
      </c>
      <c r="AM406" s="86"/>
      <c r="AN406" s="84">
        <f>AF406-AL406</f>
        <v>-695937.70000000007</v>
      </c>
      <c r="AO406" s="447">
        <f>IF(AL406=0,0,AN406/AL406)</f>
        <v>-1</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47" t="s">
        <v>3301</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47" t="s">
        <v>3301</v>
      </c>
      <c r="V408" s="299" t="s">
        <v>103</v>
      </c>
      <c r="W408" s="454" t="s">
        <v>207</v>
      </c>
      <c r="X408" s="449"/>
      <c r="Y408" s="455">
        <f t="shared" ref="Y408:Y414" si="197">Z408/(D$13+D$96)</f>
        <v>607.49116390434085</v>
      </c>
      <c r="Z408" s="87">
        <f t="shared" ref="Z408:Z414" si="198">+SUMIF($C:$C,$V408,F:F)</f>
        <v>67103.918799905194</v>
      </c>
      <c r="AA408" s="449"/>
      <c r="AB408" s="455">
        <f t="shared" ref="AB408:AB414" si="199">IF(AC408=0,0,AC408/(G$13+G$96))</f>
        <v>607.49116390434085</v>
      </c>
      <c r="AC408" s="87">
        <f t="shared" ref="AC408:AC414" si="200">+SUMIF($C:$C,$V408,I:I)</f>
        <v>67103.918799905194</v>
      </c>
      <c r="AD408" s="456"/>
      <c r="AE408" s="455">
        <f t="shared" ref="AE408:AE413" si="201">IF(AF408=0,0,AF408/(J$13+J$96))</f>
        <v>0</v>
      </c>
      <c r="AF408" s="87">
        <f t="shared" ref="AF408:AF414" si="202">+SUMIF($C:$C,$V408,L:L)</f>
        <v>0</v>
      </c>
      <c r="AG408" s="450">
        <f t="shared" ref="AG408:AH408" si="203">AE408-AB408</f>
        <v>-607.49116390434085</v>
      </c>
      <c r="AH408" s="451">
        <f t="shared" si="203"/>
        <v>-67103.918799905194</v>
      </c>
      <c r="AI408" s="452">
        <f>IF(AC408=0,0,AH408/AC408)</f>
        <v>-1</v>
      </c>
      <c r="AJ408" s="456"/>
      <c r="AK408" s="451">
        <f t="shared" ref="AK408:AK414" si="204">AL408/(O$13+O$96)</f>
        <v>648.41151515151523</v>
      </c>
      <c r="AL408" s="87">
        <f t="shared" ref="AL408:AL414" si="205">+SUMIF($C:$C,$V408,Q:Q)</f>
        <v>64192.740000000005</v>
      </c>
      <c r="AM408" s="453">
        <f t="shared" ref="AM408:AM413" si="206">AE408-Y408</f>
        <v>-607.49116390434085</v>
      </c>
      <c r="AN408" s="451">
        <f t="shared" ref="AN408:AN413" si="207">AF408-AL408</f>
        <v>-64192.740000000005</v>
      </c>
      <c r="AO408" s="208">
        <f>IF(AL408=0,0,AN408/AL408)</f>
        <v>-1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47" t="s">
        <v>3301</v>
      </c>
      <c r="V409" s="300" t="s">
        <v>104</v>
      </c>
      <c r="W409" s="457" t="s">
        <v>208</v>
      </c>
      <c r="X409" s="439"/>
      <c r="Y409" s="458">
        <f t="shared" si="197"/>
        <v>381.94703167086197</v>
      </c>
      <c r="Z409" s="440">
        <f t="shared" si="198"/>
        <v>42190.148798842798</v>
      </c>
      <c r="AA409" s="439"/>
      <c r="AB409" s="458">
        <f t="shared" si="199"/>
        <v>381.94703167086197</v>
      </c>
      <c r="AC409" s="440">
        <f t="shared" si="200"/>
        <v>42190.148798842798</v>
      </c>
      <c r="AD409" s="459"/>
      <c r="AE409" s="458">
        <f t="shared" si="201"/>
        <v>0</v>
      </c>
      <c r="AF409" s="440">
        <f t="shared" si="202"/>
        <v>0</v>
      </c>
      <c r="AG409" s="441">
        <f t="shared" ref="AG409:AH409" si="208">AE409-AB409</f>
        <v>-381.94703167086197</v>
      </c>
      <c r="AH409" s="442">
        <f t="shared" si="208"/>
        <v>-42190.148798842798</v>
      </c>
      <c r="AI409" s="460">
        <f t="shared" ref="AI409:AI413" si="209">IF(AC409=0,0,AH409/AC409)</f>
        <v>-1</v>
      </c>
      <c r="AJ409" s="459"/>
      <c r="AK409" s="442">
        <f t="shared" si="204"/>
        <v>411.41777777777776</v>
      </c>
      <c r="AL409" s="440">
        <f t="shared" si="205"/>
        <v>40730.36</v>
      </c>
      <c r="AM409" s="444">
        <f t="shared" si="206"/>
        <v>-381.94703167086197</v>
      </c>
      <c r="AN409" s="442">
        <f t="shared" si="207"/>
        <v>-40730.36</v>
      </c>
      <c r="AO409" s="209">
        <f t="shared" ref="AO409:AO413" si="210">IF(AL409=0,0,AN409/AL409)</f>
        <v>-1</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47" t="s">
        <v>3301</v>
      </c>
      <c r="V410" s="299" t="s">
        <v>105</v>
      </c>
      <c r="W410" s="454" t="s">
        <v>209</v>
      </c>
      <c r="X410" s="449"/>
      <c r="Y410" s="455">
        <f t="shared" si="197"/>
        <v>141.26708220774063</v>
      </c>
      <c r="Z410" s="87">
        <f t="shared" si="198"/>
        <v>15604.465343401225</v>
      </c>
      <c r="AA410" s="449"/>
      <c r="AB410" s="455">
        <f t="shared" si="199"/>
        <v>141.26708220774063</v>
      </c>
      <c r="AC410" s="87">
        <f t="shared" si="200"/>
        <v>15604.465343401225</v>
      </c>
      <c r="AD410" s="456"/>
      <c r="AE410" s="455">
        <f t="shared" si="201"/>
        <v>0</v>
      </c>
      <c r="AF410" s="248">
        <f t="shared" si="202"/>
        <v>0</v>
      </c>
      <c r="AG410" s="450">
        <f t="shared" ref="AG410:AH410" si="211">AE410-AB410</f>
        <v>-141.26708220774063</v>
      </c>
      <c r="AH410" s="451">
        <f t="shared" si="211"/>
        <v>-15604.465343401225</v>
      </c>
      <c r="AI410" s="452">
        <f t="shared" si="209"/>
        <v>-1</v>
      </c>
      <c r="AJ410" s="456"/>
      <c r="AK410" s="451">
        <f t="shared" si="204"/>
        <v>176.41777777777779</v>
      </c>
      <c r="AL410" s="87">
        <f t="shared" si="205"/>
        <v>17465.36</v>
      </c>
      <c r="AM410" s="453">
        <f t="shared" si="206"/>
        <v>-141.26708220774063</v>
      </c>
      <c r="AN410" s="451">
        <f t="shared" si="207"/>
        <v>-17465.36</v>
      </c>
      <c r="AO410" s="208">
        <f t="shared" si="210"/>
        <v>-1</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47" t="s">
        <v>3301</v>
      </c>
      <c r="V411" s="299" t="s">
        <v>106</v>
      </c>
      <c r="W411" s="454" t="s">
        <v>210</v>
      </c>
      <c r="X411" s="449"/>
      <c r="Y411" s="455">
        <f t="shared" si="197"/>
        <v>17.511756873570288</v>
      </c>
      <c r="Z411" s="87">
        <f t="shared" si="198"/>
        <v>1934.3614872277908</v>
      </c>
      <c r="AA411" s="449"/>
      <c r="AB411" s="455">
        <f t="shared" si="199"/>
        <v>17.511756873570288</v>
      </c>
      <c r="AC411" s="87">
        <f t="shared" si="200"/>
        <v>1934.3614872277908</v>
      </c>
      <c r="AD411" s="456"/>
      <c r="AE411" s="455">
        <f t="shared" si="201"/>
        <v>0</v>
      </c>
      <c r="AF411" s="248">
        <f t="shared" si="202"/>
        <v>0</v>
      </c>
      <c r="AG411" s="450">
        <f t="shared" ref="AG411:AH411" si="212">AE411-AB411</f>
        <v>-17.511756873570288</v>
      </c>
      <c r="AH411" s="451">
        <f t="shared" si="212"/>
        <v>-1934.3614872277908</v>
      </c>
      <c r="AI411" s="452">
        <f t="shared" si="209"/>
        <v>-1</v>
      </c>
      <c r="AJ411" s="456"/>
      <c r="AK411" s="451">
        <f t="shared" si="204"/>
        <v>48.932424242424247</v>
      </c>
      <c r="AL411" s="87">
        <f t="shared" si="205"/>
        <v>4844.3100000000004</v>
      </c>
      <c r="AM411" s="453">
        <f t="shared" si="206"/>
        <v>-17.511756873570288</v>
      </c>
      <c r="AN411" s="451">
        <f t="shared" si="207"/>
        <v>-4844.3100000000004</v>
      </c>
      <c r="AO411" s="210">
        <f t="shared" si="210"/>
        <v>-1</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47" t="s">
        <v>3301</v>
      </c>
      <c r="V412" s="300" t="s">
        <v>107</v>
      </c>
      <c r="W412" s="457"/>
      <c r="X412" s="439"/>
      <c r="Y412" s="458">
        <f t="shared" si="197"/>
        <v>45.104487156995205</v>
      </c>
      <c r="Z412" s="440">
        <f t="shared" si="198"/>
        <v>4982.2746790947122</v>
      </c>
      <c r="AA412" s="439"/>
      <c r="AB412" s="458">
        <f t="shared" si="199"/>
        <v>45.104487156995205</v>
      </c>
      <c r="AC412" s="440">
        <f t="shared" si="200"/>
        <v>4982.2746790947122</v>
      </c>
      <c r="AD412" s="459"/>
      <c r="AE412" s="458">
        <f t="shared" si="201"/>
        <v>0</v>
      </c>
      <c r="AF412" s="1007">
        <f t="shared" si="202"/>
        <v>0</v>
      </c>
      <c r="AG412" s="441">
        <f t="shared" ref="AG412:AH412" si="213">AE412-AB412</f>
        <v>-45.104487156995205</v>
      </c>
      <c r="AH412" s="442">
        <f t="shared" si="213"/>
        <v>-4982.2746790947122</v>
      </c>
      <c r="AI412" s="460">
        <f t="shared" si="209"/>
        <v>-1</v>
      </c>
      <c r="AJ412" s="459"/>
      <c r="AK412" s="442">
        <f t="shared" si="204"/>
        <v>62.182727272727277</v>
      </c>
      <c r="AL412" s="440">
        <f t="shared" si="205"/>
        <v>6156.09</v>
      </c>
      <c r="AM412" s="444">
        <f t="shared" si="206"/>
        <v>-45.104487156995205</v>
      </c>
      <c r="AN412" s="442">
        <f t="shared" si="207"/>
        <v>-6156.09</v>
      </c>
      <c r="AO412" s="209">
        <f t="shared" si="210"/>
        <v>-1</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47" t="s">
        <v>3301</v>
      </c>
      <c r="V413" s="299" t="s">
        <v>108</v>
      </c>
      <c r="W413" s="454" t="s">
        <v>211</v>
      </c>
      <c r="X413" s="452"/>
      <c r="Y413" s="455">
        <f t="shared" si="197"/>
        <v>150.50547404675149</v>
      </c>
      <c r="Z413" s="87">
        <f t="shared" si="198"/>
        <v>16624.944870745116</v>
      </c>
      <c r="AA413" s="452"/>
      <c r="AB413" s="455">
        <f t="shared" si="199"/>
        <v>150.50547404675149</v>
      </c>
      <c r="AC413" s="87">
        <f t="shared" si="200"/>
        <v>16624.944870745116</v>
      </c>
      <c r="AD413" s="456"/>
      <c r="AE413" s="455">
        <f t="shared" si="201"/>
        <v>0</v>
      </c>
      <c r="AF413" s="248">
        <f t="shared" si="202"/>
        <v>0</v>
      </c>
      <c r="AG413" s="450">
        <f t="shared" ref="AG413:AH414" si="214">AE413-AB413</f>
        <v>-150.50547404675149</v>
      </c>
      <c r="AH413" s="451">
        <f t="shared" si="214"/>
        <v>-16624.944870745116</v>
      </c>
      <c r="AI413" s="452">
        <f t="shared" si="209"/>
        <v>-1</v>
      </c>
      <c r="AJ413" s="456"/>
      <c r="AK413" s="451">
        <f t="shared" si="204"/>
        <v>175.80333333333331</v>
      </c>
      <c r="AL413" s="87">
        <f t="shared" si="205"/>
        <v>17404.53</v>
      </c>
      <c r="AM413" s="453">
        <f t="shared" si="206"/>
        <v>-150.50547404675149</v>
      </c>
      <c r="AN413" s="451">
        <f t="shared" si="207"/>
        <v>-17404.53</v>
      </c>
      <c r="AO413" s="208">
        <f t="shared" si="210"/>
        <v>-1</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47" t="s">
        <v>3301</v>
      </c>
      <c r="D414"/>
      <c r="E414"/>
      <c r="F414"/>
      <c r="G414"/>
      <c r="H414"/>
      <c r="I414"/>
      <c r="J414"/>
      <c r="K414"/>
      <c r="L414"/>
      <c r="M414"/>
      <c r="N414"/>
      <c r="O414"/>
      <c r="P414"/>
      <c r="Q414"/>
      <c r="R414"/>
      <c r="S414"/>
      <c r="V414" s="299" t="s">
        <v>109</v>
      </c>
      <c r="W414" s="454" t="s">
        <v>212</v>
      </c>
      <c r="X414" s="449"/>
      <c r="Y414" s="455">
        <f t="shared" si="197"/>
        <v>74.329748569785579</v>
      </c>
      <c r="Z414" s="87">
        <f t="shared" si="198"/>
        <v>8210.5184549312598</v>
      </c>
      <c r="AA414" s="449"/>
      <c r="AB414" s="455">
        <f t="shared" si="199"/>
        <v>74.329748569785579</v>
      </c>
      <c r="AC414" s="87">
        <f t="shared" si="200"/>
        <v>8210.5184549312598</v>
      </c>
      <c r="AD414" s="456"/>
      <c r="AE414" s="455">
        <f>IF(AF414=0,0,AF414/(J$13+J$13))</f>
        <v>0</v>
      </c>
      <c r="AF414" s="87">
        <f t="shared" si="202"/>
        <v>0</v>
      </c>
      <c r="AG414" s="450">
        <f t="shared" si="214"/>
        <v>-74.329748569785579</v>
      </c>
      <c r="AH414" s="451">
        <f t="shared" si="214"/>
        <v>-8210.5184549312598</v>
      </c>
      <c r="AI414" s="452">
        <f t="shared" ref="AI414" si="215">IF(AC414=0,0,AH414/AC414)</f>
        <v>-1</v>
      </c>
      <c r="AJ414" s="456"/>
      <c r="AK414" s="451">
        <f t="shared" si="204"/>
        <v>149.16141414141413</v>
      </c>
      <c r="AL414" s="87">
        <f t="shared" si="205"/>
        <v>14766.98</v>
      </c>
      <c r="AM414" s="453">
        <f t="shared" ref="AM414" si="216">AE414-Y414</f>
        <v>-74.329748569785579</v>
      </c>
      <c r="AN414" s="451">
        <f t="shared" ref="AN414" si="217">AF414-AL414</f>
        <v>-14766.98</v>
      </c>
      <c r="AO414" s="208">
        <f t="shared" ref="AO414" si="218">IF(AL414=0,0,AN414/AL414)</f>
        <v>-1</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47" t="s">
        <v>3301</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47" t="s">
        <v>3301</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47" t="s">
        <v>3301</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47" t="s">
        <v>3301</v>
      </c>
      <c r="V418" s="461" t="s">
        <v>110</v>
      </c>
      <c r="W418" s="88"/>
      <c r="X418" s="89">
        <f>Z418/Z406</f>
        <v>0.2162237218030674</v>
      </c>
      <c r="Y418" s="88"/>
      <c r="Z418" s="90">
        <f>SUM(Z408:Z417)</f>
        <v>156650.63243414811</v>
      </c>
      <c r="AA418" s="89">
        <f>AC418/AC406</f>
        <v>0.2162237218030674</v>
      </c>
      <c r="AB418" s="88"/>
      <c r="AC418" s="90">
        <f>SUM(AC408:AC417)</f>
        <v>156650.63243414811</v>
      </c>
      <c r="AD418" s="91" t="e">
        <f>AF418/AF406</f>
        <v>#DIV/0!</v>
      </c>
      <c r="AE418" s="88"/>
      <c r="AF418" s="90">
        <f>SUM(AF408:AF417)</f>
        <v>0</v>
      </c>
      <c r="AG418" s="92"/>
      <c r="AH418" s="93">
        <f>AF418-AC418</f>
        <v>-156650.63243414811</v>
      </c>
      <c r="AI418" s="89">
        <f>AH418/AC418</f>
        <v>-1</v>
      </c>
      <c r="AJ418" s="91">
        <f>IF($AL$406=0,0,AL418/$AL$406)</f>
        <v>0.23789538919934933</v>
      </c>
      <c r="AK418" s="88"/>
      <c r="AL418" s="90">
        <f>SUM(AL408:AL417)</f>
        <v>165560.37000000002</v>
      </c>
      <c r="AM418" s="94"/>
      <c r="AN418" s="93">
        <f t="shared" ref="AN418:AN423" si="229">AF418-AL418</f>
        <v>-165560.37000000002</v>
      </c>
      <c r="AO418" s="447">
        <f>IF(AL418=0,0,AN418/AL418)</f>
        <v>-1</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47" t="s">
        <v>3301</v>
      </c>
      <c r="V419" s="299" t="s">
        <v>213</v>
      </c>
      <c r="W419" s="454" t="s">
        <v>214</v>
      </c>
      <c r="X419" s="449"/>
      <c r="Y419" s="449"/>
      <c r="Z419" s="87">
        <f>+INDEX('Budget original'!$A$2:$AO$500,MATCH($A419,'Budget original'!$A$2:$A$500,0),MATCH(F$2,'Budget original'!$A$2:$AO$2,0))</f>
        <v>15043.715813333336</v>
      </c>
      <c r="AA419" s="449"/>
      <c r="AB419" s="449"/>
      <c r="AC419" s="87">
        <f>+INDEX('Budget révisé'!$A$2:$AO$500,MATCH($A419,'Budget révisé'!$A$2:$A$500,0),MATCH(I$2,'Budget révisé'!$A$2:$AO$2,0))</f>
        <v>15043.715813333336</v>
      </c>
      <c r="AD419" s="456"/>
      <c r="AE419" s="455"/>
      <c r="AF419" s="87">
        <f>SUMIFS(BV_Data_An_Cour!$P:$P,BV_Data_An_Cour!$W:$W,$V419)</f>
        <v>0</v>
      </c>
      <c r="AG419" s="450"/>
      <c r="AH419" s="451">
        <f t="shared" ref="AH419:AH426" si="230">AF419-AC419</f>
        <v>-15043.715813333336</v>
      </c>
      <c r="AI419" s="452">
        <f>IF(AC419=0,0,AH419/AC419)</f>
        <v>-1</v>
      </c>
      <c r="AJ419" s="456"/>
      <c r="AK419" s="449"/>
      <c r="AL419" s="87">
        <f>SUMIFS(BV_Data_An_Prec!$O:$O,BV_Data_An_Prec!$V:$V,$V419)</f>
        <v>13393.95</v>
      </c>
      <c r="AM419" s="453"/>
      <c r="AN419" s="451">
        <f t="shared" si="229"/>
        <v>-13393.95</v>
      </c>
      <c r="AO419" s="208">
        <f t="shared" ref="AO419:AO423" si="231">IF(AL419=0,0,AN419/AL419)</f>
        <v>-1</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47" t="s">
        <v>3301</v>
      </c>
      <c r="V420" s="299" t="s">
        <v>112</v>
      </c>
      <c r="W420" s="454" t="s">
        <v>215</v>
      </c>
      <c r="X420" s="449"/>
      <c r="Y420" s="449"/>
      <c r="Z420" s="87">
        <f>+SUMIF($C:$C,$V420,F:F)</f>
        <v>37259.747126436778</v>
      </c>
      <c r="AA420" s="449"/>
      <c r="AB420" s="449"/>
      <c r="AC420" s="87">
        <f>+SUMIF($C:$C,$V420,I:I)</f>
        <v>37259.747126436778</v>
      </c>
      <c r="AD420" s="456"/>
      <c r="AE420" s="455"/>
      <c r="AF420" s="87">
        <f>+SUMIF($C:$C,$V420,L:L)</f>
        <v>0</v>
      </c>
      <c r="AG420" s="450"/>
      <c r="AH420" s="451">
        <f t="shared" si="230"/>
        <v>-37259.747126436778</v>
      </c>
      <c r="AI420" s="452">
        <f t="shared" ref="AI420:AI431" si="232">IF(AC420=0,0,AH420/AC420)</f>
        <v>-1</v>
      </c>
      <c r="AJ420" s="456"/>
      <c r="AK420" s="449"/>
      <c r="AL420" s="87">
        <f>+SUMIF($C:$C,$V420,Q:Q)</f>
        <v>40235.340000000004</v>
      </c>
      <c r="AM420" s="453"/>
      <c r="AN420" s="451">
        <f t="shared" si="229"/>
        <v>-40235.340000000004</v>
      </c>
      <c r="AO420" s="208">
        <f t="shared" si="231"/>
        <v>-1</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47" t="s">
        <v>3301</v>
      </c>
      <c r="V421" s="300" t="s">
        <v>113</v>
      </c>
      <c r="W421" s="457" t="s">
        <v>216</v>
      </c>
      <c r="X421" s="439"/>
      <c r="Y421" s="439"/>
      <c r="Z421" s="440">
        <f>+SUMIF($C:$C,$V421,F:F)</f>
        <v>25568.902342298854</v>
      </c>
      <c r="AA421" s="439"/>
      <c r="AB421" s="439"/>
      <c r="AC421" s="440">
        <f>+SUMIF($C:$C,$V421,I:I)</f>
        <v>25568.902342298854</v>
      </c>
      <c r="AD421" s="459"/>
      <c r="AE421" s="458"/>
      <c r="AF421" s="440">
        <f>+SUMIF($C:$C,$V421,L:L)</f>
        <v>0</v>
      </c>
      <c r="AG421" s="441"/>
      <c r="AH421" s="442">
        <f t="shared" si="230"/>
        <v>-25568.902342298854</v>
      </c>
      <c r="AI421" s="460">
        <f t="shared" si="232"/>
        <v>-1</v>
      </c>
      <c r="AJ421" s="459"/>
      <c r="AK421" s="439"/>
      <c r="AL421" s="440">
        <f>+SUMIF($C:$C,$V421,Q:Q)</f>
        <v>25325.010000000002</v>
      </c>
      <c r="AM421" s="444"/>
      <c r="AN421" s="442">
        <f t="shared" si="229"/>
        <v>-25325.010000000002</v>
      </c>
      <c r="AO421" s="445">
        <f t="shared" si="231"/>
        <v>-1</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47" t="s">
        <v>3301</v>
      </c>
      <c r="V422" s="274" t="s">
        <v>114</v>
      </c>
      <c r="W422" s="454" t="s">
        <v>217</v>
      </c>
      <c r="X422" s="449"/>
      <c r="Y422" s="449"/>
      <c r="Z422" s="87">
        <f>+SUMIF($C:$C,$V422,F:F)</f>
        <v>54420.077005977015</v>
      </c>
      <c r="AA422" s="449"/>
      <c r="AB422" s="449"/>
      <c r="AC422" s="87">
        <f>+SUMIF($C:$C,$V422,I:I)</f>
        <v>54420.077005977015</v>
      </c>
      <c r="AD422" s="456"/>
      <c r="AE422" s="455"/>
      <c r="AF422" s="248">
        <f>+SUMIF($C:$C,$V422,L:L)</f>
        <v>0</v>
      </c>
      <c r="AG422" s="450"/>
      <c r="AH422" s="451">
        <f t="shared" si="230"/>
        <v>-54420.077005977015</v>
      </c>
      <c r="AI422" s="452">
        <f t="shared" si="232"/>
        <v>-1</v>
      </c>
      <c r="AJ422" s="456"/>
      <c r="AK422" s="449"/>
      <c r="AL422" s="87">
        <f>+SUMIF($C:$C,$V422,Q:Q)</f>
        <v>57967.040000000001</v>
      </c>
      <c r="AM422" s="453"/>
      <c r="AN422" s="451">
        <f t="shared" si="229"/>
        <v>-57967.040000000001</v>
      </c>
      <c r="AO422" s="208">
        <f t="shared" si="231"/>
        <v>-1</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47" t="s">
        <v>3301</v>
      </c>
      <c r="V423" s="274" t="s">
        <v>115</v>
      </c>
      <c r="W423" s="454" t="s">
        <v>218</v>
      </c>
      <c r="X423" s="449"/>
      <c r="Y423" s="449"/>
      <c r="Z423" s="87">
        <f>+SUMIF($C:$C,$V423,F:F)</f>
        <v>35996.825580752877</v>
      </c>
      <c r="AA423" s="449"/>
      <c r="AB423" s="449"/>
      <c r="AC423" s="87">
        <f>+SUMIF($C:$C,$V423,I:I)</f>
        <v>35996.825580752877</v>
      </c>
      <c r="AD423" s="456"/>
      <c r="AE423" s="455"/>
      <c r="AF423" s="248">
        <f>+SUMIF($C:$C,$V423,L:L)</f>
        <v>0</v>
      </c>
      <c r="AG423" s="450"/>
      <c r="AH423" s="451">
        <f t="shared" si="230"/>
        <v>-35996.825580752877</v>
      </c>
      <c r="AI423" s="452">
        <f t="shared" si="232"/>
        <v>-1</v>
      </c>
      <c r="AJ423" s="456"/>
      <c r="AK423" s="449"/>
      <c r="AL423" s="87">
        <f>+SUMIF($C:$C,$V423,Q:Q)</f>
        <v>36744.379999999997</v>
      </c>
      <c r="AM423" s="453"/>
      <c r="AN423" s="451">
        <f t="shared" si="229"/>
        <v>-36744.379999999997</v>
      </c>
      <c r="AO423" s="208">
        <f t="shared" si="231"/>
        <v>-1</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47" t="s">
        <v>3301</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47" t="s">
        <v>3301</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47" t="s">
        <v>3301</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47" t="s">
        <v>3301</v>
      </c>
      <c r="V427" s="276" t="s">
        <v>116</v>
      </c>
      <c r="W427" s="457" t="s">
        <v>219</v>
      </c>
      <c r="X427" s="439"/>
      <c r="Y427" s="439"/>
      <c r="Z427" s="440">
        <f>+SUMIF($C:$C,$V427,F:F)</f>
        <v>40150.625488047583</v>
      </c>
      <c r="AA427" s="439"/>
      <c r="AB427" s="439"/>
      <c r="AC427" s="440">
        <f>+SUMIF($C:$C,$V427,I:I)</f>
        <v>40150.625488047583</v>
      </c>
      <c r="AD427" s="459"/>
      <c r="AE427" s="458"/>
      <c r="AF427" s="1007">
        <f>+SUMIF($C:$C,$V427,L:L)</f>
        <v>0</v>
      </c>
      <c r="AG427" s="441"/>
      <c r="AH427" s="442">
        <f t="shared" ref="AH427:AH431" si="236">AF427-AC427</f>
        <v>-40150.625488047583</v>
      </c>
      <c r="AI427" s="460">
        <f t="shared" si="232"/>
        <v>-1</v>
      </c>
      <c r="AJ427" s="459"/>
      <c r="AK427" s="439"/>
      <c r="AL427" s="440">
        <f>+SUMIF($C:$C,$V427,Q:Q)</f>
        <v>33777.35</v>
      </c>
      <c r="AM427" s="444"/>
      <c r="AN427" s="442">
        <f t="shared" ref="AN427:AN430" si="237">AF427-AL427</f>
        <v>-33777.35</v>
      </c>
      <c r="AO427" s="209">
        <f t="shared" ref="AO427:AO430" si="238">IF(AL427=0,0,AN427/AL427)</f>
        <v>-1</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47" t="s">
        <v>3301</v>
      </c>
      <c r="V428" s="274" t="s">
        <v>117</v>
      </c>
      <c r="W428" s="454" t="s">
        <v>220</v>
      </c>
      <c r="X428" s="449"/>
      <c r="Y428" s="449"/>
      <c r="Z428" s="87">
        <f>+SUMIF($C:$C,$V428,F:F)</f>
        <v>35959.000793689775</v>
      </c>
      <c r="AA428" s="449"/>
      <c r="AB428" s="449"/>
      <c r="AC428" s="87">
        <f>+SUMIF($C:$C,$V428,I:I)</f>
        <v>35959.000793689775</v>
      </c>
      <c r="AD428" s="456"/>
      <c r="AE428" s="455"/>
      <c r="AF428" s="248">
        <f>+SUMIF($C:$C,$V428,L:L)</f>
        <v>0</v>
      </c>
      <c r="AG428" s="450"/>
      <c r="AH428" s="451">
        <f t="shared" si="236"/>
        <v>-35959.000793689775</v>
      </c>
      <c r="AI428" s="452">
        <f t="shared" si="232"/>
        <v>-1</v>
      </c>
      <c r="AJ428" s="456"/>
      <c r="AK428" s="449"/>
      <c r="AL428" s="87">
        <f>+SUMIF($C:$C,$V428,Q:Q)</f>
        <v>30346.79</v>
      </c>
      <c r="AM428" s="453"/>
      <c r="AN428" s="451">
        <f t="shared" si="237"/>
        <v>-30346.79</v>
      </c>
      <c r="AO428" s="208">
        <f t="shared" si="238"/>
        <v>-1</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47" t="s">
        <v>3301</v>
      </c>
      <c r="V429" s="274" t="s">
        <v>118</v>
      </c>
      <c r="W429" s="454" t="s">
        <v>221</v>
      </c>
      <c r="X429" s="449"/>
      <c r="Y429" s="449"/>
      <c r="Z429" s="87">
        <f>+SUMIF($C:$C,$V429,F:F)</f>
        <v>28555.677100871297</v>
      </c>
      <c r="AA429" s="449"/>
      <c r="AB429" s="449"/>
      <c r="AC429" s="87">
        <f>+SUMIF($C:$C,$V429,I:I)</f>
        <v>28555.677100871297</v>
      </c>
      <c r="AD429" s="456"/>
      <c r="AE429" s="455"/>
      <c r="AF429" s="87">
        <f>+SUMIF($C:$C,$V429,L:L)</f>
        <v>0</v>
      </c>
      <c r="AG429" s="450"/>
      <c r="AH429" s="451">
        <f t="shared" si="236"/>
        <v>-28555.677100871297</v>
      </c>
      <c r="AI429" s="452">
        <f t="shared" si="232"/>
        <v>-1</v>
      </c>
      <c r="AJ429" s="456"/>
      <c r="AK429" s="449"/>
      <c r="AL429" s="87">
        <f>+SUMIF($C:$C,$V429,Q:Q)</f>
        <v>23832.690000000002</v>
      </c>
      <c r="AM429" s="453"/>
      <c r="AN429" s="451">
        <f t="shared" si="237"/>
        <v>-23832.690000000002</v>
      </c>
      <c r="AO429" s="208">
        <f t="shared" si="238"/>
        <v>-1</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47" t="s">
        <v>3301</v>
      </c>
      <c r="V430" s="274" t="s">
        <v>119</v>
      </c>
      <c r="W430" s="454"/>
      <c r="X430" s="449"/>
      <c r="Y430" s="449"/>
      <c r="Z430" s="87">
        <f>+SUMIF($C:$C,$V430,F:F)</f>
        <v>11633.794374429046</v>
      </c>
      <c r="AA430" s="449"/>
      <c r="AB430" s="449"/>
      <c r="AC430" s="87">
        <f>+SUMIF($C:$C,$V430,I:I)</f>
        <v>11633.794374429046</v>
      </c>
      <c r="AD430" s="456"/>
      <c r="AE430" s="455"/>
      <c r="AF430" s="248">
        <f>+SUMIF($C:$C,$V430,L:L)</f>
        <v>0</v>
      </c>
      <c r="AG430" s="450"/>
      <c r="AH430" s="451">
        <f t="shared" si="236"/>
        <v>-11633.794374429046</v>
      </c>
      <c r="AI430" s="97">
        <f t="shared" si="232"/>
        <v>-1</v>
      </c>
      <c r="AJ430" s="456"/>
      <c r="AK430" s="449"/>
      <c r="AL430" s="87">
        <f>+SUMIF($C:$C,$V430,Q:Q)</f>
        <v>8450.5999999999985</v>
      </c>
      <c r="AM430" s="453"/>
      <c r="AN430" s="451">
        <f t="shared" si="237"/>
        <v>-8450.5999999999985</v>
      </c>
      <c r="AO430" s="208">
        <f t="shared" si="238"/>
        <v>-1</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47" t="s">
        <v>3301</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47" t="s">
        <v>3301</v>
      </c>
      <c r="V432" s="461" t="s">
        <v>120</v>
      </c>
      <c r="W432" s="88"/>
      <c r="X432" s="89">
        <f>Z432/Z406</f>
        <v>0.39281523886179093</v>
      </c>
      <c r="Y432" s="88"/>
      <c r="Z432" s="90">
        <f>SUM(Z419:Z431)</f>
        <v>284588.36562583654</v>
      </c>
      <c r="AA432" s="89">
        <f>AC432/AC406</f>
        <v>0.39281523886179093</v>
      </c>
      <c r="AB432" s="88"/>
      <c r="AC432" s="90">
        <f>SUM(AC419:AC431)</f>
        <v>284588.36562583654</v>
      </c>
      <c r="AD432" s="91" t="e">
        <f>AF432/AF406</f>
        <v>#DIV/0!</v>
      </c>
      <c r="AE432" s="98"/>
      <c r="AF432" s="90">
        <f>SUM(AF419:AF431)</f>
        <v>0</v>
      </c>
      <c r="AG432" s="99"/>
      <c r="AH432" s="93">
        <f t="shared" ref="AH432:AH446" si="239">AF432-AC432</f>
        <v>-284588.36562583654</v>
      </c>
      <c r="AI432" s="89">
        <f>AH432/AC432</f>
        <v>-1</v>
      </c>
      <c r="AJ432" s="91">
        <f>IF($AL$406=0,0,AL432/$AL$406)</f>
        <v>0.38807087186108757</v>
      </c>
      <c r="AK432" s="88"/>
      <c r="AL432" s="90">
        <f>SUM(AL419:AL431)</f>
        <v>270073.15000000002</v>
      </c>
      <c r="AM432" s="100"/>
      <c r="AN432" s="93">
        <f t="shared" ref="AN432:AN446" si="240">AF432-AL432</f>
        <v>-270073.15000000002</v>
      </c>
      <c r="AO432" s="447">
        <f>IF(AL432=0,0,AN432/AL432)</f>
        <v>-1</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47" t="s">
        <v>3301</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6" si="243">+SUMIF($C:$C,$V433,L:L)</f>
        <v>0</v>
      </c>
      <c r="AG433" s="465"/>
      <c r="AH433" s="1088">
        <f t="shared" si="239"/>
        <v>-10644.25</v>
      </c>
      <c r="AI433" s="468">
        <f>IF(AC433=0,0,AH433/AC433)</f>
        <v>-1</v>
      </c>
      <c r="AJ433" s="465"/>
      <c r="AK433" s="463"/>
      <c r="AL433" s="464">
        <f t="shared" ref="AL433:AL446" si="244">+SUMIF($C:$C,$V433,Q:Q)</f>
        <v>10880.87</v>
      </c>
      <c r="AM433" s="469"/>
      <c r="AN433" s="467">
        <f t="shared" si="240"/>
        <v>-10880.87</v>
      </c>
      <c r="AO433" s="207">
        <f t="shared" ref="AO433:AO446" si="245">IF(AL433=0,0,AN433/AL433)</f>
        <v>-1</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47" t="s">
        <v>3301</v>
      </c>
      <c r="V434" s="299" t="s">
        <v>122</v>
      </c>
      <c r="W434" s="454" t="s">
        <v>222</v>
      </c>
      <c r="X434" s="449"/>
      <c r="Y434" s="449"/>
      <c r="Z434" s="87">
        <f t="shared" si="241"/>
        <v>4887.1336259974432</v>
      </c>
      <c r="AA434" s="449"/>
      <c r="AB434" s="449"/>
      <c r="AC434" s="87">
        <f t="shared" si="242"/>
        <v>4887.1336259974432</v>
      </c>
      <c r="AD434" s="456"/>
      <c r="AE434" s="455"/>
      <c r="AF434" s="87">
        <f t="shared" si="243"/>
        <v>0</v>
      </c>
      <c r="AG434" s="450"/>
      <c r="AH434" s="451">
        <f t="shared" si="239"/>
        <v>-4887.1336259974432</v>
      </c>
      <c r="AI434" s="452">
        <f t="shared" ref="AI434:AI446" si="246">IF(AC434=0,0,AH434/AC434)</f>
        <v>-1</v>
      </c>
      <c r="AJ434" s="456"/>
      <c r="AK434" s="449"/>
      <c r="AL434" s="87">
        <f t="shared" si="244"/>
        <v>6800.4500000000007</v>
      </c>
      <c r="AM434" s="453"/>
      <c r="AN434" s="451">
        <f t="shared" si="240"/>
        <v>-6800.4500000000007</v>
      </c>
      <c r="AO434" s="208">
        <f t="shared" si="245"/>
        <v>-1</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47" t="s">
        <v>3301</v>
      </c>
      <c r="U435" s="1183">
        <f>S435/AC428</f>
        <v>0</v>
      </c>
      <c r="V435" s="300" t="s">
        <v>123</v>
      </c>
      <c r="W435" s="457" t="s">
        <v>223</v>
      </c>
      <c r="X435" s="439"/>
      <c r="Y435" s="439"/>
      <c r="Z435" s="440">
        <f t="shared" si="241"/>
        <v>24550.224444444444</v>
      </c>
      <c r="AA435" s="439"/>
      <c r="AB435" s="439"/>
      <c r="AC435" s="440">
        <f t="shared" si="242"/>
        <v>24550.224444444444</v>
      </c>
      <c r="AD435" s="459"/>
      <c r="AE435" s="458"/>
      <c r="AF435" s="440">
        <f t="shared" si="243"/>
        <v>0</v>
      </c>
      <c r="AG435" s="441"/>
      <c r="AH435" s="442">
        <f t="shared" si="239"/>
        <v>-24550.224444444444</v>
      </c>
      <c r="AI435" s="460">
        <f t="shared" si="246"/>
        <v>-1</v>
      </c>
      <c r="AJ435" s="459"/>
      <c r="AK435" s="439"/>
      <c r="AL435" s="440">
        <f t="shared" si="244"/>
        <v>21670.780000000002</v>
      </c>
      <c r="AM435" s="444"/>
      <c r="AN435" s="442">
        <f t="shared" si="240"/>
        <v>-21670.780000000002</v>
      </c>
      <c r="AO435" s="445">
        <f t="shared" si="245"/>
        <v>-1</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47" t="s">
        <v>3301</v>
      </c>
      <c r="U436" s="1183">
        <f>S436/AC429</f>
        <v>0</v>
      </c>
      <c r="V436" s="299" t="s">
        <v>124</v>
      </c>
      <c r="W436" s="454" t="s">
        <v>224</v>
      </c>
      <c r="X436" s="449"/>
      <c r="Y436" s="449"/>
      <c r="Z436" s="87">
        <f t="shared" si="241"/>
        <v>20034.212666666666</v>
      </c>
      <c r="AA436" s="449"/>
      <c r="AB436" s="449"/>
      <c r="AC436" s="87">
        <f t="shared" si="242"/>
        <v>20034.212666666666</v>
      </c>
      <c r="AD436" s="456"/>
      <c r="AE436" s="455"/>
      <c r="AF436" s="248">
        <f t="shared" si="243"/>
        <v>0</v>
      </c>
      <c r="AG436" s="450"/>
      <c r="AH436" s="451">
        <f t="shared" si="239"/>
        <v>-20034.212666666666</v>
      </c>
      <c r="AI436" s="452">
        <f t="shared" si="246"/>
        <v>-1</v>
      </c>
      <c r="AJ436" s="456"/>
      <c r="AK436" s="449"/>
      <c r="AL436" s="87">
        <f t="shared" si="244"/>
        <v>16093.130000000001</v>
      </c>
      <c r="AM436" s="453"/>
      <c r="AN436" s="451">
        <f t="shared" si="240"/>
        <v>-16093.130000000001</v>
      </c>
      <c r="AO436" s="208">
        <f t="shared" si="245"/>
        <v>-1</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47" t="s">
        <v>3301</v>
      </c>
      <c r="U437" s="1183">
        <f>S437/AC430</f>
        <v>0</v>
      </c>
      <c r="V437" s="299" t="s">
        <v>125</v>
      </c>
      <c r="W437" s="454" t="s">
        <v>225</v>
      </c>
      <c r="X437" s="449"/>
      <c r="Y437" s="449"/>
      <c r="Z437" s="87">
        <f t="shared" si="241"/>
        <v>2475.4431250000002</v>
      </c>
      <c r="AA437" s="449"/>
      <c r="AB437" s="449"/>
      <c r="AC437" s="87">
        <f t="shared" si="242"/>
        <v>2475.4431250000002</v>
      </c>
      <c r="AD437" s="456"/>
      <c r="AE437" s="455"/>
      <c r="AF437" s="87">
        <f t="shared" si="243"/>
        <v>0</v>
      </c>
      <c r="AG437" s="450"/>
      <c r="AH437" s="451">
        <f t="shared" si="239"/>
        <v>-2475.4431250000002</v>
      </c>
      <c r="AI437" s="452">
        <f t="shared" si="246"/>
        <v>-1</v>
      </c>
      <c r="AJ437" s="456"/>
      <c r="AK437" s="449"/>
      <c r="AL437" s="87">
        <f t="shared" si="244"/>
        <v>3239.03</v>
      </c>
      <c r="AM437" s="453"/>
      <c r="AN437" s="451">
        <f t="shared" si="240"/>
        <v>-3239.03</v>
      </c>
      <c r="AO437" s="208">
        <f t="shared" si="245"/>
        <v>-1</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47" t="s">
        <v>3301</v>
      </c>
      <c r="V438" s="299" t="s">
        <v>126</v>
      </c>
      <c r="W438" s="454" t="s">
        <v>226</v>
      </c>
      <c r="X438" s="449"/>
      <c r="Y438" s="449"/>
      <c r="Z438" s="87">
        <f t="shared" si="241"/>
        <v>18693.551455555556</v>
      </c>
      <c r="AA438" s="449"/>
      <c r="AB438" s="449"/>
      <c r="AC438" s="87">
        <f t="shared" si="242"/>
        <v>18693.551455555556</v>
      </c>
      <c r="AD438" s="456"/>
      <c r="AE438" s="455"/>
      <c r="AF438" s="248">
        <f t="shared" si="243"/>
        <v>0</v>
      </c>
      <c r="AG438" s="450"/>
      <c r="AH438" s="451">
        <f t="shared" si="239"/>
        <v>-18693.551455555556</v>
      </c>
      <c r="AI438" s="452">
        <f t="shared" si="246"/>
        <v>-1</v>
      </c>
      <c r="AJ438" s="456"/>
      <c r="AK438" s="449"/>
      <c r="AL438" s="87">
        <f t="shared" si="244"/>
        <v>17760.18</v>
      </c>
      <c r="AM438" s="453"/>
      <c r="AN438" s="451">
        <f t="shared" si="240"/>
        <v>-17760.18</v>
      </c>
      <c r="AO438" s="208">
        <f t="shared" si="245"/>
        <v>-1</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47" t="s">
        <v>3301</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47" t="s">
        <v>3301</v>
      </c>
      <c r="V440" s="299" t="s">
        <v>127</v>
      </c>
      <c r="W440" s="454" t="s">
        <v>227</v>
      </c>
      <c r="X440" s="449"/>
      <c r="Y440" s="455"/>
      <c r="Z440" s="87">
        <f t="shared" si="241"/>
        <v>1561.8245203715139</v>
      </c>
      <c r="AA440" s="449"/>
      <c r="AB440" s="455"/>
      <c r="AC440" s="87">
        <f t="shared" si="242"/>
        <v>1561.8245203715139</v>
      </c>
      <c r="AD440" s="456"/>
      <c r="AE440" s="455"/>
      <c r="AF440" s="248">
        <f t="shared" si="243"/>
        <v>0</v>
      </c>
      <c r="AG440" s="450"/>
      <c r="AH440" s="451">
        <f t="shared" si="239"/>
        <v>-1561.8245203715139</v>
      </c>
      <c r="AI440" s="452">
        <f t="shared" si="246"/>
        <v>-1</v>
      </c>
      <c r="AJ440" s="456"/>
      <c r="AK440" s="449"/>
      <c r="AL440" s="87">
        <f t="shared" si="244"/>
        <v>-311.52999999999997</v>
      </c>
      <c r="AM440" s="453"/>
      <c r="AN440" s="451">
        <f t="shared" si="240"/>
        <v>311.52999999999997</v>
      </c>
      <c r="AO440" s="208">
        <f t="shared" si="245"/>
        <v>-1</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47" t="s">
        <v>3301</v>
      </c>
      <c r="U441" s="79"/>
      <c r="V441" s="299" t="s">
        <v>128</v>
      </c>
      <c r="W441" s="454" t="s">
        <v>228</v>
      </c>
      <c r="X441" s="449"/>
      <c r="Y441" s="449"/>
      <c r="Z441" s="87">
        <f t="shared" si="241"/>
        <v>829.91249322309579</v>
      </c>
      <c r="AA441" s="449"/>
      <c r="AB441" s="449"/>
      <c r="AC441" s="87">
        <f t="shared" si="242"/>
        <v>829.91249322309579</v>
      </c>
      <c r="AD441" s="456"/>
      <c r="AE441" s="455"/>
      <c r="AF441" s="87">
        <f t="shared" si="243"/>
        <v>0</v>
      </c>
      <c r="AG441" s="450"/>
      <c r="AH441" s="451">
        <f t="shared" si="239"/>
        <v>-829.91249322309579</v>
      </c>
      <c r="AI441" s="97">
        <f t="shared" si="246"/>
        <v>-1</v>
      </c>
      <c r="AJ441" s="456"/>
      <c r="AK441" s="449"/>
      <c r="AL441" s="87">
        <f t="shared" si="244"/>
        <v>1244</v>
      </c>
      <c r="AM441" s="453"/>
      <c r="AN441" s="451">
        <f t="shared" si="240"/>
        <v>-1244</v>
      </c>
      <c r="AO441" s="208">
        <f t="shared" si="245"/>
        <v>-1</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47" t="s">
        <v>3301</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0</v>
      </c>
      <c r="AG442" s="450"/>
      <c r="AH442" s="451">
        <f t="shared" si="239"/>
        <v>-2040.2009999999998</v>
      </c>
      <c r="AI442" s="452">
        <f t="shared" si="246"/>
        <v>-1</v>
      </c>
      <c r="AJ442" s="456"/>
      <c r="AK442" s="449"/>
      <c r="AL442" s="87">
        <f t="shared" si="244"/>
        <v>2568.3399999999997</v>
      </c>
      <c r="AM442" s="453"/>
      <c r="AN442" s="451">
        <f t="shared" si="240"/>
        <v>-2568.3399999999997</v>
      </c>
      <c r="AO442" s="208">
        <f t="shared" si="245"/>
        <v>-1</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47" t="s">
        <v>3301</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0</v>
      </c>
      <c r="AG443" s="450"/>
      <c r="AH443" s="451">
        <f t="shared" si="239"/>
        <v>-942.07664583333337</v>
      </c>
      <c r="AI443" s="97">
        <f t="shared" si="246"/>
        <v>-1</v>
      </c>
      <c r="AJ443" s="456"/>
      <c r="AK443" s="449"/>
      <c r="AL443" s="87">
        <f t="shared" si="244"/>
        <v>619.90000000000009</v>
      </c>
      <c r="AM443" s="453"/>
      <c r="AN443" s="451">
        <f t="shared" si="240"/>
        <v>-619.90000000000009</v>
      </c>
      <c r="AO443" s="208">
        <f t="shared" si="245"/>
        <v>-1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47" t="s">
        <v>3301</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0</v>
      </c>
      <c r="AG444" s="450"/>
      <c r="AH444" s="451">
        <f t="shared" si="239"/>
        <v>-502.86585416666657</v>
      </c>
      <c r="AI444" s="452">
        <f t="shared" si="246"/>
        <v>-1</v>
      </c>
      <c r="AJ444" s="456"/>
      <c r="AK444" s="449"/>
      <c r="AL444" s="87">
        <f t="shared" si="244"/>
        <v>909.41000000000008</v>
      </c>
      <c r="AM444" s="453"/>
      <c r="AN444" s="451">
        <f t="shared" si="240"/>
        <v>-909.41000000000008</v>
      </c>
      <c r="AO444" s="208">
        <f t="shared" si="245"/>
        <v>-1</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47" t="s">
        <v>3301</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0</v>
      </c>
      <c r="AG445" s="450"/>
      <c r="AH445" s="451">
        <f t="shared" si="239"/>
        <v>-2425.729979166666</v>
      </c>
      <c r="AI445" s="97">
        <f t="shared" si="246"/>
        <v>-1</v>
      </c>
      <c r="AJ445" s="456"/>
      <c r="AK445" s="449"/>
      <c r="AL445" s="87">
        <f t="shared" si="244"/>
        <v>4243.28</v>
      </c>
      <c r="AM445" s="453"/>
      <c r="AN445" s="451">
        <f t="shared" si="240"/>
        <v>-4243.28</v>
      </c>
      <c r="AO445" s="208">
        <f t="shared" si="245"/>
        <v>-1</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47" t="s">
        <v>3301</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0</v>
      </c>
      <c r="AG446" s="450"/>
      <c r="AH446" s="451">
        <f t="shared" si="239"/>
        <v>-3603.9258333333332</v>
      </c>
      <c r="AI446" s="452">
        <f t="shared" si="246"/>
        <v>-1</v>
      </c>
      <c r="AJ446" s="456"/>
      <c r="AK446" s="449"/>
      <c r="AL446" s="87">
        <f t="shared" si="244"/>
        <v>-2297.0500000000006</v>
      </c>
      <c r="AM446" s="453"/>
      <c r="AN446" s="451">
        <f t="shared" si="240"/>
        <v>2297.0500000000006</v>
      </c>
      <c r="AO446" s="208">
        <f t="shared" si="245"/>
        <v>-1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47" t="s">
        <v>3301</v>
      </c>
      <c r="D447"/>
      <c r="E447"/>
      <c r="F447"/>
      <c r="G447"/>
      <c r="H447"/>
      <c r="I447"/>
      <c r="J447"/>
      <c r="K447"/>
      <c r="L447"/>
      <c r="M447"/>
      <c r="N447"/>
      <c r="O447"/>
      <c r="P447"/>
      <c r="Q447"/>
      <c r="R447"/>
      <c r="S447"/>
      <c r="T447" s="79"/>
      <c r="U447" s="79"/>
      <c r="V447" s="299" t="s">
        <v>134</v>
      </c>
      <c r="W447" s="454" t="s">
        <v>234</v>
      </c>
      <c r="X447" s="449"/>
      <c r="Y447" s="455"/>
      <c r="Z447" s="87">
        <f t="shared" si="241"/>
        <v>9333.6146670067283</v>
      </c>
      <c r="AA447" s="449"/>
      <c r="AB447" s="455"/>
      <c r="AC447" s="87">
        <f t="shared" si="242"/>
        <v>9333.6146670067283</v>
      </c>
      <c r="AD447" s="456"/>
      <c r="AE447" s="455"/>
      <c r="AF447" s="1007">
        <f>SUMIFS(BV_Data_An_Cour!$P:$P,BV_Data_An_Cour!$W:$W,$V447)</f>
        <v>0</v>
      </c>
      <c r="AG447" s="450"/>
      <c r="AH447" s="451">
        <f t="shared" ref="AH447:AH450" si="251">AF447-AC447</f>
        <v>-9333.6146670067283</v>
      </c>
      <c r="AI447" s="452">
        <f t="shared" ref="AI447:AI450" si="252">IF(AC447=0,0,AH447/AC447)</f>
        <v>-1</v>
      </c>
      <c r="AJ447" s="456"/>
      <c r="AK447" s="449"/>
      <c r="AL447" s="248">
        <f>SUMIFS(BV_Data_An_Prec!$O:$O,BV_Data_An_Prec!$V:$V,$V447)</f>
        <v>9114.15</v>
      </c>
      <c r="AM447" s="453"/>
      <c r="AN447" s="451">
        <f t="shared" ref="AN447:AN450" si="253">AF447-AL447</f>
        <v>-9114.15</v>
      </c>
      <c r="AO447" s="208">
        <f t="shared" ref="AO447:AO450" si="254">IF(AL447=0,0,AN447/AL447)</f>
        <v>-1</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47" t="s">
        <v>3301</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47" t="s">
        <v>3301</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47" t="s">
        <v>3301</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47" t="s">
        <v>3301</v>
      </c>
      <c r="T451" s="79"/>
      <c r="U451" s="79"/>
      <c r="V451" s="461" t="s">
        <v>135</v>
      </c>
      <c r="W451" s="103"/>
      <c r="X451" s="89">
        <f>Z451/+Z406</f>
        <v>0.14151446086734951</v>
      </c>
      <c r="Y451" s="88"/>
      <c r="Z451" s="90">
        <f>+SUM(Z433:Z450)</f>
        <v>102524.96631076543</v>
      </c>
      <c r="AA451" s="89">
        <f>AC451/+AC406</f>
        <v>0.14151446086734951</v>
      </c>
      <c r="AB451" s="88"/>
      <c r="AC451" s="90">
        <f>+SUM(AC433:AC450)</f>
        <v>102524.96631076543</v>
      </c>
      <c r="AD451" s="91" t="e">
        <f>AF451/AF406</f>
        <v>#DIV/0!</v>
      </c>
      <c r="AE451" s="88"/>
      <c r="AF451" s="90">
        <f>+SUM(AF433:AF450)</f>
        <v>0</v>
      </c>
      <c r="AG451" s="99"/>
      <c r="AH451" s="549">
        <f>+SUM(AH433:AH450)</f>
        <v>-102524.96631076543</v>
      </c>
      <c r="AI451" s="89">
        <f>AH451/AC451</f>
        <v>-1</v>
      </c>
      <c r="AJ451" s="91">
        <f>IF($AL$406=0,0,AL451/$AL$406)</f>
        <v>0.1329644018422913</v>
      </c>
      <c r="AK451" s="89"/>
      <c r="AL451" s="90">
        <f>+SUM(AL433:AL450)</f>
        <v>92534.939999999988</v>
      </c>
      <c r="AM451" s="100"/>
      <c r="AN451" s="93">
        <f>+SUM(AN433:AN450)</f>
        <v>-92534.939999999988</v>
      </c>
      <c r="AO451" s="630">
        <f>IF(AL451=0,0,AN451/AL451)</f>
        <v>-1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47" t="s">
        <v>3301</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0</v>
      </c>
      <c r="AG452" s="450"/>
      <c r="AH452" s="451">
        <f t="shared" ref="AH452:AH460" si="255">AF452-AC452</f>
        <v>-26000</v>
      </c>
      <c r="AI452" s="452">
        <f>IF(AC452=0,0,AH452/AC452)</f>
        <v>-1</v>
      </c>
      <c r="AJ452" s="456"/>
      <c r="AK452" s="449"/>
      <c r="AL452" s="87">
        <f>SUMIFS(BV_Data_An_Prec!$O:$O,BV_Data_An_Prec!$V:$V,$V452)</f>
        <v>26000</v>
      </c>
      <c r="AM452" s="453"/>
      <c r="AN452" s="451">
        <f t="shared" ref="AN452:AN460" si="256">AF452-AL452</f>
        <v>-26000</v>
      </c>
      <c r="AO452" s="208">
        <f t="shared" ref="AO452:AO460" si="257">IF(AL452=0,0,AN452/AL452)</f>
        <v>-1</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47" t="s">
        <v>3301</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0</v>
      </c>
      <c r="AG453" s="450"/>
      <c r="AH453" s="451">
        <f t="shared" si="255"/>
        <v>-4930.2499999999991</v>
      </c>
      <c r="AI453" s="452">
        <f t="shared" ref="AI453:AI460" si="258">IF(AC453=0,0,AH453/AC453)</f>
        <v>-1</v>
      </c>
      <c r="AJ453" s="456"/>
      <c r="AK453" s="449"/>
      <c r="AL453" s="87">
        <f>SUMIFS(BV_Data_An_Prec!$O:$O,BV_Data_An_Prec!$V:$V,$V453)</f>
        <v>4810</v>
      </c>
      <c r="AM453" s="453"/>
      <c r="AN453" s="451">
        <f t="shared" si="256"/>
        <v>-4810</v>
      </c>
      <c r="AO453" s="208">
        <f t="shared" si="257"/>
        <v>-1</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47" t="s">
        <v>3301</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0</v>
      </c>
      <c r="AG454" s="441"/>
      <c r="AH454" s="442">
        <f t="shared" si="255"/>
        <v>-3279.9999999999995</v>
      </c>
      <c r="AI454" s="460">
        <f t="shared" si="258"/>
        <v>-1</v>
      </c>
      <c r="AJ454" s="459"/>
      <c r="AK454" s="439"/>
      <c r="AL454" s="440">
        <f>SUMIFS(BV_Data_An_Prec!$O:$O,BV_Data_An_Prec!$V:$V,$V454)</f>
        <v>3200</v>
      </c>
      <c r="AM454" s="444"/>
      <c r="AN454" s="442">
        <f t="shared" si="256"/>
        <v>-3200</v>
      </c>
      <c r="AO454" s="445">
        <f t="shared" si="257"/>
        <v>-1</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47" t="s">
        <v>3301</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47" t="s">
        <v>3301</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0</v>
      </c>
      <c r="AG456" s="441"/>
      <c r="AH456" s="442">
        <f t="shared" si="255"/>
        <v>-4270.5833333333321</v>
      </c>
      <c r="AI456" s="460">
        <f t="shared" si="258"/>
        <v>-1</v>
      </c>
      <c r="AJ456" s="459"/>
      <c r="AK456" s="439"/>
      <c r="AL456" s="440">
        <f>SUMIF(BV_Data_An_Prec!$V:$V,Print_Mois!$V456,BV_Data_An_Prec!$O:$O)</f>
        <v>3708.11</v>
      </c>
      <c r="AM456" s="444"/>
      <c r="AN456" s="442">
        <f t="shared" si="256"/>
        <v>-3708.11</v>
      </c>
      <c r="AO456" s="445">
        <f t="shared" si="257"/>
        <v>-1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47" t="s">
        <v>3301</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79">
        <f>SUMIFS(BV_Data_An_Cour!$P:$P,BV_Data_An_Cour!$W:$W,$V457)</f>
        <v>0</v>
      </c>
      <c r="AG457" s="450"/>
      <c r="AH457" s="451">
        <f t="shared" si="255"/>
        <v>-2838.4863750000004</v>
      </c>
      <c r="AI457" s="452">
        <f t="shared" si="258"/>
        <v>-1</v>
      </c>
      <c r="AJ457" s="456"/>
      <c r="AK457" s="449"/>
      <c r="AL457" s="87">
        <f>SUMIFS(BV_Data_An_Prec!$O:$O,BV_Data_An_Prec!$V:$V,$V457)</f>
        <v>3774.94</v>
      </c>
      <c r="AM457" s="453"/>
      <c r="AN457" s="451">
        <f t="shared" si="256"/>
        <v>-3774.94</v>
      </c>
      <c r="AO457" s="208">
        <f t="shared" si="257"/>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47" t="s">
        <v>3301</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0</v>
      </c>
      <c r="AG458" s="450"/>
      <c r="AH458" s="451">
        <f t="shared" si="255"/>
        <v>-6122.833333333333</v>
      </c>
      <c r="AI458" s="452">
        <f t="shared" si="258"/>
        <v>-1</v>
      </c>
      <c r="AJ458" s="456"/>
      <c r="AK458" s="449"/>
      <c r="AL458" s="87">
        <f>SUMIFS(BV_Data_An_Prec!$O:$O,BV_Data_An_Prec!$V:$V,$V458)</f>
        <v>6217.0899999999992</v>
      </c>
      <c r="AM458" s="453"/>
      <c r="AN458" s="451">
        <f t="shared" si="256"/>
        <v>-6217.0899999999992</v>
      </c>
      <c r="AO458" s="208">
        <f t="shared" si="257"/>
        <v>-1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47" t="s">
        <v>3301</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7">
        <f>SUMIFS(BV_Data_An_Cour!$P:$P,BV_Data_An_Cour!$W:$W,$V459)</f>
        <v>0</v>
      </c>
      <c r="AG459" s="441"/>
      <c r="AH459" s="442">
        <f t="shared" si="255"/>
        <v>-1188.8599166666665</v>
      </c>
      <c r="AI459" s="460">
        <f t="shared" si="258"/>
        <v>-1</v>
      </c>
      <c r="AJ459" s="459"/>
      <c r="AK459" s="439"/>
      <c r="AL459" s="440">
        <f>SUMIFS(BV_Data_An_Prec!$O:$O,BV_Data_An_Prec!$V:$V,$V459)</f>
        <v>1516.33</v>
      </c>
      <c r="AM459" s="444"/>
      <c r="AN459" s="442">
        <f t="shared" si="256"/>
        <v>-1516.33</v>
      </c>
      <c r="AO459" s="445">
        <f t="shared" si="257"/>
        <v>-1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47" t="s">
        <v>3301</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47" t="s">
        <v>3301</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47" t="s">
        <v>3301</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47" t="s">
        <v>3301</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47" t="s">
        <v>3301</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47" t="s">
        <v>3301</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6.7443361374146624E-2</v>
      </c>
      <c r="Y465" s="88"/>
      <c r="Z465" s="90">
        <f>SUM(Z452:Z464)</f>
        <v>48861.637958333333</v>
      </c>
      <c r="AA465" s="89">
        <f>AC465/+AC406</f>
        <v>6.7443361374146624E-2</v>
      </c>
      <c r="AB465" s="88"/>
      <c r="AC465" s="90">
        <f>SUM(AC452:AC464)</f>
        <v>48861.637958333333</v>
      </c>
      <c r="AD465" s="91" t="e">
        <f>AF465/AF406</f>
        <v>#DIV/0!</v>
      </c>
      <c r="AE465" s="88"/>
      <c r="AF465" s="90">
        <f>SUM(AF452:AF464)</f>
        <v>0</v>
      </c>
      <c r="AG465" s="99"/>
      <c r="AH465" s="1181">
        <f>SUM(AH452:AH464)</f>
        <v>-48861.637958333333</v>
      </c>
      <c r="AI465" s="1182">
        <f>IF(AC465=0,0,AH465/AC465)</f>
        <v>-1</v>
      </c>
      <c r="AJ465" s="91">
        <f>IF($AL$406=0,0,AL465/$AL$406)</f>
        <v>7.0734018289280776E-2</v>
      </c>
      <c r="AK465" s="89"/>
      <c r="AL465" s="90">
        <f>SUM(AL452:AL464)</f>
        <v>49226.47</v>
      </c>
      <c r="AM465" s="100"/>
      <c r="AN465" s="93">
        <f>SUM(AN452:AN464)</f>
        <v>-49226.47</v>
      </c>
      <c r="AO465" s="630">
        <f>IF(AL465=0,0,AN465/AL465)</f>
        <v>-1</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3243</v>
      </c>
      <c r="B466" s="2"/>
      <c r="C466" s="1247" t="s">
        <v>3301</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47" t="s">
        <v>3301</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0.81799678290635458</v>
      </c>
      <c r="Y467" s="88"/>
      <c r="Z467" s="90">
        <f>Z418+Z432+Z451+Z465</f>
        <v>592625.60232908349</v>
      </c>
      <c r="AA467" s="89">
        <f>AC467/+AC406</f>
        <v>0.81799678290635458</v>
      </c>
      <c r="AB467" s="88"/>
      <c r="AC467" s="90">
        <f>AC418+AC432+AC451+AC465</f>
        <v>592625.60232908349</v>
      </c>
      <c r="AD467" s="91" t="e">
        <f>AF467/AF406</f>
        <v>#DIV/0!</v>
      </c>
      <c r="AE467" s="88"/>
      <c r="AF467" s="90">
        <f>AF418+AF432+AF451+AF465</f>
        <v>0</v>
      </c>
      <c r="AG467" s="99"/>
      <c r="AH467" s="93">
        <f t="shared" si="261"/>
        <v>-592625.60232908349</v>
      </c>
      <c r="AI467" s="89">
        <f>AH467/AC467</f>
        <v>-1</v>
      </c>
      <c r="AJ467" s="91">
        <f>IF($AL$406=0,0,AL467/$AL$406)</f>
        <v>0.82966468119200887</v>
      </c>
      <c r="AK467" s="89"/>
      <c r="AL467" s="90">
        <f>AL418+AL432+AL451+AL465</f>
        <v>577394.92999999993</v>
      </c>
      <c r="AM467" s="100"/>
      <c r="AN467" s="93">
        <f t="shared" si="262"/>
        <v>-577394.92999999993</v>
      </c>
      <c r="AO467" s="447">
        <f>IF(AL467=0,0,AN467/AL467)</f>
        <v>-1</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47" t="s">
        <v>3301</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0</v>
      </c>
      <c r="AA468" s="243"/>
      <c r="AB468" s="244"/>
      <c r="AC468" s="242">
        <f>+INDEX('Budget révisé'!$A$2:$AO$500,MATCH($A468,'Budget révisé'!$A$2:$A$500,0),MATCH(I$2,'Budget révisé'!$A$2:$AO$2,0))</f>
        <v>0</v>
      </c>
      <c r="AD468" s="246"/>
      <c r="AE468" s="244"/>
      <c r="AF468" s="87">
        <f>-SUMIFS(BV_Data_An_Cour!$P:$P,BV_Data_An_Cour!$W:$W,$V468)</f>
        <v>0</v>
      </c>
      <c r="AG468" s="245"/>
      <c r="AH468" s="476">
        <f t="shared" si="261"/>
        <v>0</v>
      </c>
      <c r="AI468" s="477">
        <f t="shared" ref="AI468:AI472" si="263">IF(AH468=0,0,AH468/AC468)</f>
        <v>0</v>
      </c>
      <c r="AJ468" s="246"/>
      <c r="AK468" s="243"/>
      <c r="AL468" s="478">
        <f>-SUMIFS(BV_Data_An_Prec!$O:$O,BV_Data_An_Prec!$V:$V,$V468)</f>
        <v>-9.68</v>
      </c>
      <c r="AM468" s="247"/>
      <c r="AN468" s="476">
        <f t="shared" si="262"/>
        <v>9.68</v>
      </c>
      <c r="AO468" s="255">
        <f>IF(AL468=0,0,AN468/AL468)</f>
        <v>-1</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47" t="s">
        <v>3301</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80545.632451807207</v>
      </c>
      <c r="AA469" s="249"/>
      <c r="AB469" s="476"/>
      <c r="AC469" s="248">
        <f t="shared" ref="AC469:AC475" si="265">+SUMIF($C:$C,$V469,I:I)</f>
        <v>80545.632451807207</v>
      </c>
      <c r="AD469" s="254"/>
      <c r="AE469" s="1180"/>
      <c r="AF469" s="248">
        <f t="shared" ref="AF469:AF475" si="266">+SUMIF($C:$C,$V469,L:L)</f>
        <v>0</v>
      </c>
      <c r="AG469" s="250"/>
      <c r="AH469" s="476">
        <f t="shared" si="261"/>
        <v>-80545.632451807207</v>
      </c>
      <c r="AI469" s="251">
        <f>IF(AC469=0,0,AH469/AC469)</f>
        <v>-1</v>
      </c>
      <c r="AJ469" s="252"/>
      <c r="AK469" s="249"/>
      <c r="AL469" s="253">
        <f t="shared" ref="AL469:AL475" si="267">+SUMIF($C:$C,$V469,Q:Q)</f>
        <v>54257.65</v>
      </c>
      <c r="AM469" s="254"/>
      <c r="AN469" s="476">
        <f t="shared" si="262"/>
        <v>-54257.65</v>
      </c>
      <c r="AO469" s="255">
        <f>IF(AL469=0,0,AN469/AL469)</f>
        <v>-1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47" t="s">
        <v>3301</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0</v>
      </c>
      <c r="AA470" s="249"/>
      <c r="AB470" s="241"/>
      <c r="AC470" s="248">
        <f t="shared" si="265"/>
        <v>0</v>
      </c>
      <c r="AD470" s="252"/>
      <c r="AF470" s="248">
        <f t="shared" si="266"/>
        <v>0</v>
      </c>
      <c r="AG470" s="250"/>
      <c r="AH470" s="476">
        <f t="shared" si="261"/>
        <v>0</v>
      </c>
      <c r="AI470" s="251">
        <f t="shared" si="263"/>
        <v>0</v>
      </c>
      <c r="AJ470" s="252"/>
      <c r="AK470" s="249"/>
      <c r="AL470" s="253">
        <f t="shared" si="267"/>
        <v>0</v>
      </c>
      <c r="AM470" s="254"/>
      <c r="AN470" s="476">
        <f t="shared" si="262"/>
        <v>0</v>
      </c>
      <c r="AO470" s="25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47" t="s">
        <v>3301</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47" t="s">
        <v>3301</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47" t="s">
        <v>3301</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47" t="s">
        <v>3301</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47" t="s">
        <v>3301</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47" t="s">
        <v>3301</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47" t="s">
        <v>3301</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47" t="s">
        <v>3301</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47" t="s">
        <v>3301</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42417.915343760127</v>
      </c>
      <c r="AA479" s="249"/>
      <c r="AB479" s="241"/>
      <c r="AC479" s="248">
        <f>+SUMIF($C:$C,$V479,I:I)</f>
        <v>42417.915343760127</v>
      </c>
      <c r="AD479" s="1185">
        <f>AF479/399</f>
        <v>0</v>
      </c>
      <c r="AE479" s="1188" t="e">
        <f>(AF479/399)/(J13+J15+J96)</f>
        <v>#DIV/0!</v>
      </c>
      <c r="AF479" s="248">
        <f>+SUMIF($C:$C,$V479,L:L)</f>
        <v>0</v>
      </c>
      <c r="AG479" s="250"/>
      <c r="AH479" s="476">
        <f t="shared" ref="AH479:AH480" si="276">AF479-AC479</f>
        <v>-42417.915343760127</v>
      </c>
      <c r="AI479" s="251">
        <f>IF(AH479=0,0,AH479/AC479)</f>
        <v>-1</v>
      </c>
      <c r="AJ479" s="252"/>
      <c r="AK479" s="249"/>
      <c r="AL479" s="253">
        <f>+SUMIF($C:$C,$V479,Q:Q)</f>
        <v>36333.49</v>
      </c>
      <c r="AM479" s="254"/>
      <c r="AN479" s="476">
        <f t="shared" si="274"/>
        <v>-36333.49</v>
      </c>
      <c r="AO479" s="255">
        <f t="shared" si="275"/>
        <v>-1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47" t="s">
        <v>3301</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0.16972568535044819</v>
      </c>
      <c r="Y480" s="103"/>
      <c r="Z480" s="90">
        <f>SUM(Z468:Z479)</f>
        <v>122963.54779556734</v>
      </c>
      <c r="AA480" s="89">
        <f>AC480/+AC406</f>
        <v>0.16972568535044819</v>
      </c>
      <c r="AB480" s="103"/>
      <c r="AC480" s="90">
        <f>SUM(AC468:AC479)</f>
        <v>122963.54779556734</v>
      </c>
      <c r="AD480" s="89" t="e">
        <f>AF480/+AF406</f>
        <v>#DIV/0!</v>
      </c>
      <c r="AE480" s="103"/>
      <c r="AF480" s="90">
        <f>SUM(AF468:AF479)</f>
        <v>0</v>
      </c>
      <c r="AG480" s="99"/>
      <c r="AH480" s="93">
        <f t="shared" si="276"/>
        <v>-122963.54779556734</v>
      </c>
      <c r="AI480" s="89">
        <f>AH480/AC480</f>
        <v>-1</v>
      </c>
      <c r="AJ480" s="109"/>
      <c r="AK480" s="110"/>
      <c r="AL480" s="90">
        <f>SUM(AL468:AL479)</f>
        <v>90581.459999999992</v>
      </c>
      <c r="AM480" s="111"/>
      <c r="AN480" s="93">
        <f t="shared" ref="AN480:AN482" si="277">AF480-AL480</f>
        <v>-90581.459999999992</v>
      </c>
      <c r="AO480" s="630">
        <f>IF(AL480=0,0,AN480/AL480)</f>
        <v>-1</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3243</v>
      </c>
      <c r="B481" s="2"/>
      <c r="C481" s="1247" t="s">
        <v>3301</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47" t="s">
        <v>3301</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4.8737285490391982E-2</v>
      </c>
      <c r="Z482" s="485">
        <f>Z406-Z467+Z480</f>
        <v>254821.97121469773</v>
      </c>
      <c r="AA482" s="483" t="s">
        <v>258</v>
      </c>
      <c r="AB482" s="484">
        <f>AC482/AC405</f>
        <v>4.8737285490391982E-2</v>
      </c>
      <c r="AC482" s="485">
        <f>AC406-AC467+AC480</f>
        <v>254821.97121469773</v>
      </c>
      <c r="AD482" s="483" t="s">
        <v>258</v>
      </c>
      <c r="AE482" s="484" t="e">
        <f>AF482/AF405</f>
        <v>#DIV/0!</v>
      </c>
      <c r="AF482" s="211">
        <f>AF406-AF467+AF480</f>
        <v>0</v>
      </c>
      <c r="AG482" s="486"/>
      <c r="AH482" s="486">
        <f>AF482-AC482</f>
        <v>-254821.97121469773</v>
      </c>
      <c r="AI482" s="540">
        <f>AH482/AC482</f>
        <v>-1</v>
      </c>
      <c r="AJ482" s="487" t="s">
        <v>258</v>
      </c>
      <c r="AK482" s="484">
        <f>IF($AL$405=0,0,AL482/$AL$405)</f>
        <v>4.0834794244766964E-2</v>
      </c>
      <c r="AL482" s="211">
        <f>AL406-AL467+AL480</f>
        <v>209124.23000000013</v>
      </c>
      <c r="AM482" s="212"/>
      <c r="AN482" s="211">
        <f t="shared" si="277"/>
        <v>-209124.23000000013</v>
      </c>
      <c r="AO482" s="488">
        <f>IF(AL482=0,0,AN482/AL482)</f>
        <v>-1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3243</v>
      </c>
      <c r="B483" s="2"/>
      <c r="C483" s="1247" t="s">
        <v>3301</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47" t="s">
        <v>3301</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Octobre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3243</v>
      </c>
      <c r="B485" s="2"/>
      <c r="C485" s="1247" t="s">
        <v>3301</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3243</v>
      </c>
      <c r="B486" s="2"/>
      <c r="C486" s="1247" t="s">
        <v>3301</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3243</v>
      </c>
      <c r="B487" s="2"/>
      <c r="C487" s="1247" t="s">
        <v>3301</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47" t="s">
        <v>3301</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4.8737285490391982E-2</v>
      </c>
      <c r="Z488" s="493">
        <f>Z482</f>
        <v>254821.97121469773</v>
      </c>
      <c r="AA488" s="491" t="s">
        <v>258</v>
      </c>
      <c r="AB488" s="492">
        <f>AC488/AC405</f>
        <v>4.8737285490391982E-2</v>
      </c>
      <c r="AC488" s="493">
        <f>AC482</f>
        <v>254821.97121469773</v>
      </c>
      <c r="AD488" s="491" t="s">
        <v>258</v>
      </c>
      <c r="AE488" s="492" t="e">
        <f>AF488/AF405</f>
        <v>#DIV/0!</v>
      </c>
      <c r="AF488" s="493">
        <f>AF482</f>
        <v>0</v>
      </c>
      <c r="AG488" s="494"/>
      <c r="AH488" s="486">
        <f>AF488-AC488</f>
        <v>-254821.97121469773</v>
      </c>
      <c r="AI488" s="540">
        <f>AH488/AC488</f>
        <v>-1</v>
      </c>
      <c r="AJ488" s="491" t="s">
        <v>258</v>
      </c>
      <c r="AK488" s="492">
        <f>IF($AL$405=0,0,AL488/$AL$405)</f>
        <v>4.0834794244766964E-2</v>
      </c>
      <c r="AL488" s="495">
        <f>AL482</f>
        <v>209124.23000000013</v>
      </c>
      <c r="AM488" s="496"/>
      <c r="AN488" s="497">
        <f>AF488-AL488</f>
        <v>-209124.23000000013</v>
      </c>
      <c r="AO488" s="498">
        <f>IF(AL488=0,0,AN488/AL488)</f>
        <v>-1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3243</v>
      </c>
      <c r="B489" s="2"/>
      <c r="C489" s="1247" t="s">
        <v>3301</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47" t="s">
        <v>3301</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0</v>
      </c>
      <c r="AG490" s="449"/>
      <c r="AH490" s="451">
        <f t="shared" ref="AH490:AH491" si="279">AF490-AC490</f>
        <v>-7468.25</v>
      </c>
      <c r="AI490" s="97">
        <f>IF(AC490=0,0,AH490/AC490)</f>
        <v>-1</v>
      </c>
      <c r="AJ490" s="449"/>
      <c r="AK490" s="449"/>
      <c r="AL490" s="87">
        <f>SUMIFS(BV_Data_An_Prec!$O:$O,BV_Data_An_Prec!$V:$V,$V490)</f>
        <v>4314.5</v>
      </c>
      <c r="AM490" s="453"/>
      <c r="AN490" s="451">
        <f t="shared" ref="AN490:AN491" si="280">AF490-AL490</f>
        <v>-4314.5</v>
      </c>
      <c r="AO490" s="208">
        <f>IF(AL490=0,0,AN490/AL490)</f>
        <v>-1</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47" t="s">
        <v>3301</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40.97</v>
      </c>
      <c r="AM491" s="502"/>
      <c r="AN491" s="451">
        <f t="shared" si="280"/>
        <v>-40.97</v>
      </c>
      <c r="AO491" s="208">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47" t="s">
        <v>3301</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415.81</v>
      </c>
      <c r="AA492" s="433"/>
      <c r="AB492" s="433"/>
      <c r="AC492" s="87">
        <f>+INDEX('Budget révisé'!$A$2:$AO$500,MATCH($A492,'Budget révisé'!$A$2:$A$500,0),MATCH(I$2,'Budget révisé'!$A$2:$AO$2,0))</f>
        <v>415.81</v>
      </c>
      <c r="AD492" s="433"/>
      <c r="AE492" s="172"/>
      <c r="AF492" s="87">
        <f>SUMIFS(BV_Data_An_Cour!$P:$P,BV_Data_An_Cour!$W:$W,$V492)</f>
        <v>0</v>
      </c>
      <c r="AG492" s="433"/>
      <c r="AH492" s="451">
        <f t="shared" ref="AH492:AH496" si="283">AF492-AC492</f>
        <v>-415.81</v>
      </c>
      <c r="AI492" s="97">
        <f t="shared" ref="AI492:AI496" si="284">IF(AC492=0,0,AH492/AC492)</f>
        <v>-1</v>
      </c>
      <c r="AJ492" s="433"/>
      <c r="AK492" s="433"/>
      <c r="AL492" s="87">
        <f>SUMIFS(BV_Data_An_Prec!$O:$O,BV_Data_An_Prec!$V:$V,$V492)</f>
        <v>570.58999999999992</v>
      </c>
      <c r="AM492" s="502"/>
      <c r="AN492" s="451">
        <f t="shared" ref="AN492:AN496" si="285">AF492-AL492</f>
        <v>-570.58999999999992</v>
      </c>
      <c r="AO492" s="208">
        <f t="shared" ref="AO492:AO496" si="286">IF(AL492=0,0,AN492/AL492)</f>
        <v>-1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47" t="s">
        <v>3301</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47" t="s">
        <v>3301</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47" t="s">
        <v>3301</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47" t="s">
        <v>3301</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47" t="s">
        <v>3301</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4.7229379083374844E-2</v>
      </c>
      <c r="Z497" s="485">
        <f>Z488-Z490-Z491-Z492-Z496</f>
        <v>246937.91121469773</v>
      </c>
      <c r="AA497" s="483" t="s">
        <v>258</v>
      </c>
      <c r="AB497" s="484">
        <f>AC497/AC405</f>
        <v>4.7229379083374844E-2</v>
      </c>
      <c r="AC497" s="485">
        <f>AC488-AC490-AC491-AC492-AC496</f>
        <v>246937.91121469773</v>
      </c>
      <c r="AD497" s="483" t="s">
        <v>258</v>
      </c>
      <c r="AE497" s="484" t="e">
        <f>AF497/AF405</f>
        <v>#DIV/0!</v>
      </c>
      <c r="AF497" s="211">
        <f>AF488-AF490-AF491-AF492-AF496</f>
        <v>0</v>
      </c>
      <c r="AG497" s="486"/>
      <c r="AH497" s="486">
        <f>AF497-AC497</f>
        <v>-246937.91121469773</v>
      </c>
      <c r="AI497" s="540">
        <f>AH497/AC497</f>
        <v>-1</v>
      </c>
      <c r="AJ497" s="487" t="s">
        <v>258</v>
      </c>
      <c r="AK497" s="484">
        <f>IF($AL$405=0,0,AL497/$AL$405)</f>
        <v>3.98729035708007E-2</v>
      </c>
      <c r="AL497" s="211">
        <f>AL488-AL490-AL491-AL492-AL496</f>
        <v>204198.17000000013</v>
      </c>
      <c r="AM497" s="212"/>
      <c r="AN497" s="211">
        <f>AF497-AL497</f>
        <v>-204198.17000000013</v>
      </c>
      <c r="AO497" s="503">
        <f>IF(AL497=0,0,AN497/AL497)</f>
        <v>-1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3243</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246937.91121469773</v>
      </c>
      <c r="AA499" s="79"/>
      <c r="AB499" s="79"/>
      <c r="AC499" s="101">
        <f>Z499</f>
        <v>246937.91121469773</v>
      </c>
      <c r="AD499" s="79"/>
      <c r="AE499" s="79"/>
      <c r="AF499" s="1071"/>
      <c r="AG499" s="79"/>
      <c r="AH499" s="79"/>
      <c r="AI499" s="79"/>
      <c r="AJ499" s="79"/>
      <c r="AK499" s="79"/>
      <c r="AL499" s="79">
        <v>204198.17</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20" t="s">
        <v>3337</v>
      </c>
      <c r="E500" s="1321"/>
      <c r="F500" s="1322"/>
      <c r="G500" s="1323"/>
      <c r="H500" s="1307"/>
      <c r="I500" s="1308"/>
      <c r="J500" s="1312" t="s">
        <v>3330</v>
      </c>
      <c r="K500" s="1309"/>
      <c r="O500" s="1312" t="s">
        <v>3331</v>
      </c>
      <c r="P500" s="79"/>
      <c r="Q500" s="101"/>
      <c r="R500" s="101"/>
      <c r="S500" s="101"/>
      <c r="W500" s="79"/>
      <c r="X500" s="79"/>
      <c r="Y500" s="79"/>
      <c r="Z500" s="101">
        <f>Z497-Z499</f>
        <v>0</v>
      </c>
      <c r="AA500" s="79"/>
      <c r="AB500" s="79"/>
      <c r="AC500" s="101">
        <f>AC497-AC499</f>
        <v>0</v>
      </c>
      <c r="AD500" s="79"/>
      <c r="AE500" s="79"/>
      <c r="AF500" s="1103">
        <f>AF497-AF499</f>
        <v>0</v>
      </c>
      <c r="AG500" s="79"/>
      <c r="AH500" s="79"/>
      <c r="AI500" s="79"/>
      <c r="AJ500" s="79"/>
      <c r="AK500" s="79"/>
      <c r="AL500" s="127">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07"/>
      <c r="D501" s="1307" t="s">
        <v>3342</v>
      </c>
      <c r="E501" s="1307"/>
      <c r="F501" s="1308"/>
      <c r="G501" s="1307"/>
      <c r="H501" s="1307"/>
      <c r="I501" s="1308"/>
      <c r="J501" s="1307"/>
      <c r="K501" s="1307"/>
      <c r="L501" s="1317"/>
      <c r="M501" s="1317"/>
      <c r="N501" s="1317"/>
      <c r="O501" s="1307"/>
      <c r="P501" s="1307"/>
      <c r="Q501" s="1308"/>
      <c r="R501" s="1308"/>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07"/>
      <c r="D502" s="1309">
        <v>4423</v>
      </c>
      <c r="E502" s="1307" t="e">
        <f>VLOOKUP(D502,BV_Data_An_Cour!M:N,2,FALSE)</f>
        <v>#N/A</v>
      </c>
      <c r="F502" s="1308"/>
      <c r="G502" s="1307"/>
      <c r="H502" s="1307"/>
      <c r="I502" s="1308"/>
      <c r="J502" s="1310" t="e">
        <f>-VLOOKUP(D502,BV_Data_An_Cour!M:Q,4,FALSE)</f>
        <v>#N/A</v>
      </c>
      <c r="K502" s="1307"/>
      <c r="L502" s="1317"/>
      <c r="M502" s="1317"/>
      <c r="N502" s="1317"/>
      <c r="O502" s="1310" t="e">
        <f>-VLOOKUP(D502,BV_Data_An_Cour!M:Q,5,FALSE)</f>
        <v>#N/A</v>
      </c>
      <c r="P502" s="1307"/>
      <c r="Q502" s="1308"/>
      <c r="R502" s="1308"/>
      <c r="W502" s="79"/>
      <c r="X502" s="79"/>
      <c r="Y502" s="79"/>
      <c r="Z502" s="79"/>
      <c r="AA502" s="79"/>
      <c r="AB502" s="79"/>
      <c r="AC502" s="79"/>
      <c r="AD502" s="79"/>
      <c r="AE502" s="1334"/>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07"/>
      <c r="D503" s="1309">
        <v>5423</v>
      </c>
      <c r="E503" s="1307" t="e">
        <f>VLOOKUP(D503,BV_Data_An_Cour!M:N,2,FALSE)</f>
        <v>#N/A</v>
      </c>
      <c r="F503" s="1308"/>
      <c r="G503" s="1307"/>
      <c r="H503" s="1307"/>
      <c r="I503" s="1308"/>
      <c r="J503" s="1310" t="e">
        <f>-VLOOKUP(D503,BV_Data_An_Cour!M:Q,4,FALSE)</f>
        <v>#N/A</v>
      </c>
      <c r="K503" s="1313" t="e">
        <f>-J503/J502</f>
        <v>#N/A</v>
      </c>
      <c r="L503" s="1317"/>
      <c r="M503" s="1317"/>
      <c r="N503" s="1317"/>
      <c r="O503" s="1310" t="e">
        <f>-VLOOKUP(D503,BV_Data_An_Cour!M:Q,5,FALSE)</f>
        <v>#N/A</v>
      </c>
      <c r="P503" s="1313" t="e">
        <f>-O503/O502</f>
        <v>#N/A</v>
      </c>
      <c r="Q503" s="1308"/>
      <c r="R503" s="1308"/>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07"/>
      <c r="D504" s="1309"/>
      <c r="E504" s="1307" t="s">
        <v>3344</v>
      </c>
      <c r="F504" s="1308"/>
      <c r="G504" s="1307"/>
      <c r="H504" s="1307"/>
      <c r="I504" s="1308"/>
      <c r="J504" s="1311" t="e">
        <f>SUM(J502:J503)</f>
        <v>#N/A</v>
      </c>
      <c r="K504" s="1314" t="e">
        <f>+J504/J502</f>
        <v>#N/A</v>
      </c>
      <c r="L504" s="1317"/>
      <c r="M504" s="1317"/>
      <c r="N504" s="1317"/>
      <c r="O504" s="1311" t="e">
        <f>SUM(O502:O503)</f>
        <v>#N/A</v>
      </c>
      <c r="P504" s="1314" t="e">
        <f>+O504/O502</f>
        <v>#N/A</v>
      </c>
      <c r="Q504" s="1308"/>
      <c r="R504" s="1308"/>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07"/>
      <c r="D505" s="1309"/>
      <c r="E505" s="1307"/>
      <c r="F505" s="1308"/>
      <c r="G505" s="1307"/>
      <c r="H505" s="1307"/>
      <c r="I505" s="1308"/>
      <c r="J505" s="1309"/>
      <c r="K505" s="1307"/>
      <c r="L505" s="1317"/>
      <c r="M505" s="1317"/>
      <c r="N505" s="1317"/>
      <c r="O505" s="1309"/>
      <c r="P505" s="1307"/>
      <c r="Q505" s="1308"/>
      <c r="R505" s="1308"/>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07"/>
      <c r="D506" s="1309">
        <v>4425</v>
      </c>
      <c r="E506" s="1318" t="e">
        <f>VLOOKUP(D506,BV_Data_An_Cour!M:N,2,FALSE)</f>
        <v>#N/A</v>
      </c>
      <c r="F506" s="1308"/>
      <c r="G506" s="1307"/>
      <c r="H506" s="1307"/>
      <c r="I506" s="1308"/>
      <c r="J506" s="1316" t="e">
        <f>-VLOOKUP(D506,BV_Data_An_Cour!M:Q,4,FALSE)</f>
        <v>#N/A</v>
      </c>
      <c r="K506" s="1307"/>
      <c r="L506" s="1317"/>
      <c r="M506" s="1317"/>
      <c r="N506" s="1317"/>
      <c r="O506" s="1316" t="e">
        <f>-VLOOKUP(D506,BV_Data_An_Cour!M:Q,5,FALSE)</f>
        <v>#N/A</v>
      </c>
      <c r="P506" s="1307"/>
      <c r="Q506" s="1308"/>
      <c r="R506" s="1308"/>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07"/>
      <c r="D507" s="1309"/>
      <c r="E507" s="1307"/>
      <c r="F507" s="1308"/>
      <c r="G507" s="1307"/>
      <c r="H507" s="1307"/>
      <c r="I507" s="1308"/>
      <c r="J507" s="1307"/>
      <c r="K507" s="1307"/>
      <c r="L507" s="1317"/>
      <c r="M507" s="1317"/>
      <c r="N507" s="1317"/>
      <c r="O507" s="1307"/>
      <c r="P507" s="1307"/>
      <c r="Q507" s="1308"/>
      <c r="R507" s="1308"/>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07"/>
      <c r="D508" s="1309"/>
      <c r="E508" s="1307"/>
      <c r="F508" s="1308"/>
      <c r="G508" s="1307"/>
      <c r="H508" s="1307"/>
      <c r="I508" s="1308"/>
      <c r="J508" s="1307"/>
      <c r="K508" s="1307"/>
      <c r="L508" s="1317"/>
      <c r="M508" s="1317"/>
      <c r="N508" s="1317"/>
      <c r="O508" s="1307"/>
      <c r="P508" s="1307"/>
      <c r="Q508" s="1308"/>
      <c r="R508" s="1308"/>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07"/>
      <c r="D509" s="1309">
        <v>4727</v>
      </c>
      <c r="E509" s="1307" t="e">
        <f>VLOOKUP(D509,BV_Data_An_Cour!M:N,2,FALSE)</f>
        <v>#N/A</v>
      </c>
      <c r="F509" s="1308"/>
      <c r="G509" s="1307"/>
      <c r="H509" s="1307"/>
      <c r="I509" s="1308"/>
      <c r="J509" s="1310" t="e">
        <f>-VLOOKUP(D509,BV_Data_An_Cour!M:Q,4,FALSE)</f>
        <v>#N/A</v>
      </c>
      <c r="K509" s="1307"/>
      <c r="L509" s="1317"/>
      <c r="M509" s="1317"/>
      <c r="N509" s="1317"/>
      <c r="O509" s="1310" t="e">
        <f>-VLOOKUP(D509,BV_Data_An_Cour!M:Q,5,FALSE)</f>
        <v>#N/A</v>
      </c>
      <c r="P509" s="1307"/>
      <c r="Q509" s="1308"/>
      <c r="R509" s="1308"/>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07"/>
      <c r="D510" s="1309">
        <v>5727</v>
      </c>
      <c r="E510" s="1307" t="e">
        <f>VLOOKUP(D510,BV_Data_An_Cour!M:N,2,FALSE)</f>
        <v>#N/A</v>
      </c>
      <c r="F510" s="1308"/>
      <c r="G510" s="1307"/>
      <c r="H510" s="1307"/>
      <c r="I510" s="1308"/>
      <c r="J510" s="1310" t="e">
        <f>-VLOOKUP(D510,BV_Data_An_Cour!M:Q,4,FALSE)</f>
        <v>#N/A</v>
      </c>
      <c r="K510" s="1313" t="e">
        <f>-J510/J509</f>
        <v>#N/A</v>
      </c>
      <c r="L510" s="1317"/>
      <c r="M510" s="1317"/>
      <c r="N510" s="1317"/>
      <c r="O510" s="1310" t="e">
        <f>-VLOOKUP(D510,BV_Data_An_Cour!M:Q,5,FALSE)</f>
        <v>#N/A</v>
      </c>
      <c r="P510" s="1313" t="e">
        <f>-O510/O509</f>
        <v>#N/A</v>
      </c>
      <c r="Q510" s="1308"/>
      <c r="R510" s="1308"/>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07"/>
      <c r="D511" s="1307"/>
      <c r="E511" s="1307" t="s">
        <v>3345</v>
      </c>
      <c r="F511" s="1308"/>
      <c r="G511" s="1307"/>
      <c r="H511" s="1307"/>
      <c r="I511" s="1308"/>
      <c r="J511" s="1311" t="e">
        <f>SUM(J509:J510)</f>
        <v>#N/A</v>
      </c>
      <c r="K511" s="1314" t="e">
        <f>+J511/J509</f>
        <v>#N/A</v>
      </c>
      <c r="L511" s="1317"/>
      <c r="M511" s="1317"/>
      <c r="N511" s="1317"/>
      <c r="O511" s="1311" t="e">
        <f>SUM(O509:O510)</f>
        <v>#N/A</v>
      </c>
      <c r="P511" s="1314" t="e">
        <f>+O511/O509</f>
        <v>#N/A</v>
      </c>
      <c r="Q511" s="1308"/>
      <c r="R511" s="1308"/>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07"/>
      <c r="D512" s="1309"/>
      <c r="E512" s="1307"/>
      <c r="F512" s="1308"/>
      <c r="G512" s="1307"/>
      <c r="H512" s="1307"/>
      <c r="I512" s="1308"/>
      <c r="J512" s="1309"/>
      <c r="K512" s="1307"/>
      <c r="L512" s="1317"/>
      <c r="M512" s="1317"/>
      <c r="N512" s="1317"/>
      <c r="O512" s="1309"/>
      <c r="P512" s="1307"/>
      <c r="Q512" s="1308"/>
      <c r="R512" s="1308"/>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07"/>
      <c r="D513" s="1309">
        <v>4729</v>
      </c>
      <c r="E513" s="1318" t="e">
        <f>VLOOKUP(D513,BV_Data_An_Cour!M:N,2,FALSE)</f>
        <v>#N/A</v>
      </c>
      <c r="F513" s="1308"/>
      <c r="G513" s="1307"/>
      <c r="H513" s="1307"/>
      <c r="I513" s="1308"/>
      <c r="J513" s="1316" t="e">
        <f>-VLOOKUP(D513,BV_Data_An_Cour!M:Q,4,FALSE)</f>
        <v>#N/A</v>
      </c>
      <c r="K513" s="1307"/>
      <c r="L513" s="1317"/>
      <c r="M513" s="1317"/>
      <c r="N513" s="1317"/>
      <c r="O513" s="1316" t="e">
        <f>-VLOOKUP(D513,BV_Data_An_Cour!M:Q,5,FALSE)</f>
        <v>#N/A</v>
      </c>
      <c r="P513" s="1307"/>
      <c r="Q513" s="1308"/>
      <c r="R513" s="1308"/>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07"/>
      <c r="D514" s="1317"/>
      <c r="E514" s="1317"/>
      <c r="F514" s="1317"/>
      <c r="G514" s="1317"/>
      <c r="H514" s="1317"/>
      <c r="I514" s="1317"/>
      <c r="J514" s="1317"/>
      <c r="K514" s="1317"/>
      <c r="L514" s="1317"/>
      <c r="M514" s="1317"/>
      <c r="N514" s="1317"/>
      <c r="O514" s="1317"/>
      <c r="P514" s="1317"/>
      <c r="Q514" s="1308"/>
      <c r="R514" s="1308"/>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07" t="s">
        <v>3335</v>
      </c>
      <c r="E515" s="1307"/>
      <c r="F515" s="1308"/>
      <c r="G515" s="1307"/>
      <c r="H515" s="1307"/>
      <c r="I515" s="1308"/>
      <c r="J515" s="1307"/>
      <c r="K515" s="1307"/>
      <c r="L515" s="1317"/>
      <c r="M515" s="1317"/>
      <c r="N515" s="1317"/>
      <c r="O515" s="1307"/>
      <c r="P515" s="1307"/>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09"/>
      <c r="E516" s="1307" t="s">
        <v>3332</v>
      </c>
      <c r="F516" s="1308"/>
      <c r="G516" s="1307"/>
      <c r="H516" s="1307"/>
      <c r="I516" s="1308"/>
      <c r="J516" s="1310" t="e">
        <f>+J502</f>
        <v>#N/A</v>
      </c>
      <c r="K516" s="1307"/>
      <c r="L516" s="1317"/>
      <c r="M516" s="1317"/>
      <c r="N516" s="1317"/>
      <c r="O516" s="1310" t="e">
        <f>+O502</f>
        <v>#N/A</v>
      </c>
      <c r="P516" s="1307"/>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09"/>
      <c r="E517" s="1307" t="s">
        <v>3333</v>
      </c>
      <c r="F517" s="1308"/>
      <c r="G517" s="1307"/>
      <c r="H517" s="1307"/>
      <c r="I517" s="1308"/>
      <c r="J517" s="1310" t="e">
        <f>+J503</f>
        <v>#N/A</v>
      </c>
      <c r="K517" s="1313" t="e">
        <f>-J517/J516</f>
        <v>#N/A</v>
      </c>
      <c r="L517" s="1317"/>
      <c r="M517" s="1317"/>
      <c r="N517" s="1317"/>
      <c r="O517" s="1310" t="e">
        <f>+O503</f>
        <v>#N/A</v>
      </c>
      <c r="P517" s="1313"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09"/>
      <c r="E518" s="1307"/>
      <c r="F518" s="1308"/>
      <c r="G518" s="1307"/>
      <c r="H518" s="1307"/>
      <c r="I518" s="1308"/>
      <c r="J518" s="1311" t="e">
        <f>SUM(J516:J517)</f>
        <v>#N/A</v>
      </c>
      <c r="K518" s="1314" t="e">
        <f>+J518/J516</f>
        <v>#N/A</v>
      </c>
      <c r="L518" s="1317"/>
      <c r="M518" s="1317"/>
      <c r="N518" s="1317"/>
      <c r="O518" s="1311" t="e">
        <f>SUM(O516:O517)</f>
        <v>#N/A</v>
      </c>
      <c r="P518" s="1314"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09"/>
      <c r="E519" s="1307"/>
      <c r="F519" s="1308"/>
      <c r="G519" s="1307"/>
      <c r="H519" s="1317"/>
      <c r="I519" s="1315"/>
      <c r="J519" s="1317"/>
      <c r="K519" s="1307"/>
      <c r="L519" s="1317"/>
      <c r="M519" s="1317"/>
      <c r="N519" s="1315"/>
      <c r="O519" s="1317"/>
      <c r="P519" s="1307"/>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09"/>
      <c r="E520" s="1307" t="s">
        <v>3334</v>
      </c>
      <c r="F520" s="1308"/>
      <c r="G520" s="1307"/>
      <c r="H520" s="1307"/>
      <c r="I520" s="1308"/>
      <c r="J520" s="1319" t="e">
        <f>+J506+J513</f>
        <v>#N/A</v>
      </c>
      <c r="K520" s="1307"/>
      <c r="L520" s="1317"/>
      <c r="M520" s="1317"/>
      <c r="N520" s="1317"/>
      <c r="O520" s="1319" t="e">
        <f>+O506+O513</f>
        <v>#N/A</v>
      </c>
      <c r="P520" s="1307"/>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09"/>
      <c r="E521" s="1307"/>
      <c r="F521" s="1308"/>
      <c r="G521" s="1307"/>
      <c r="H521" s="1307"/>
      <c r="I521" s="1308"/>
      <c r="J521" s="1324"/>
      <c r="K521" s="1307"/>
      <c r="L521" s="1317"/>
      <c r="M521" s="1317"/>
      <c r="N521" s="1317"/>
      <c r="O521" s="1324"/>
      <c r="P521" s="1307"/>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09"/>
      <c r="E522" s="1318"/>
      <c r="F522" s="1308"/>
      <c r="G522" s="1307"/>
      <c r="H522" s="1307"/>
      <c r="I522" s="1308"/>
      <c r="J522" s="79"/>
      <c r="K522" s="1307"/>
      <c r="L522" s="1317"/>
      <c r="M522" s="1317"/>
      <c r="N522" s="1317"/>
      <c r="O522" s="79"/>
      <c r="P522" s="1307"/>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20" t="s">
        <v>3336</v>
      </c>
      <c r="E523" s="1321"/>
      <c r="F523" s="1322"/>
      <c r="G523" s="1323"/>
      <c r="J523" s="1312" t="s">
        <v>3330</v>
      </c>
      <c r="O523" s="1312" t="s">
        <v>3331</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07"/>
      <c r="D524" s="1307" t="s">
        <v>3342</v>
      </c>
      <c r="E524" s="1307"/>
      <c r="F524" s="1308"/>
      <c r="G524" s="1307"/>
      <c r="H524" s="1307"/>
      <c r="I524" s="1308"/>
      <c r="J524" s="1307"/>
      <c r="K524" s="1307"/>
      <c r="L524" s="1317"/>
      <c r="M524" s="1317"/>
      <c r="N524" s="1317"/>
      <c r="O524" s="1307"/>
      <c r="P524" s="1307"/>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07"/>
      <c r="D525" s="1309">
        <v>4405</v>
      </c>
      <c r="E525" s="1307" t="e">
        <f>VLOOKUP(D525,BV_Data_An_Cour!M:N,2,FALSE)</f>
        <v>#N/A</v>
      </c>
      <c r="F525" s="1308"/>
      <c r="G525" s="1307"/>
      <c r="H525" s="1307"/>
      <c r="I525" s="1308"/>
      <c r="J525" s="1310" t="e">
        <f>-VLOOKUP(D525,BV_Data_An_Cour!M:Q,4,FALSE)</f>
        <v>#N/A</v>
      </c>
      <c r="K525" s="1307"/>
      <c r="L525" s="1317"/>
      <c r="M525" s="1317"/>
      <c r="N525" s="1317"/>
      <c r="O525" s="1310" t="e">
        <f>-VLOOKUP(D525,BV_Data_An_Cour!M:Q,5,FALSE)</f>
        <v>#N/A</v>
      </c>
      <c r="P525" s="1307"/>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07"/>
      <c r="D526" s="1309">
        <v>5405</v>
      </c>
      <c r="E526" s="1307" t="e">
        <f>VLOOKUP(D526,BV_Data_An_Cour!M:N,2,FALSE)</f>
        <v>#N/A</v>
      </c>
      <c r="F526" s="1308"/>
      <c r="G526" s="1307"/>
      <c r="H526" s="1307"/>
      <c r="I526" s="1308"/>
      <c r="J526" s="1310" t="e">
        <f>-VLOOKUP(D526,BV_Data_An_Cour!M:Q,4,FALSE)</f>
        <v>#N/A</v>
      </c>
      <c r="K526" s="1313" t="e">
        <f>-J526/J525</f>
        <v>#N/A</v>
      </c>
      <c r="L526" s="1317"/>
      <c r="M526" s="1317"/>
      <c r="N526" s="1317"/>
      <c r="O526" s="1310" t="e">
        <f>-VLOOKUP(D526,BV_Data_An_Cour!M:Q,5,FALSE)</f>
        <v>#N/A</v>
      </c>
      <c r="P526" s="1313" t="e">
        <f>-O526/O525</f>
        <v>#N/A</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07"/>
      <c r="D527" s="1309"/>
      <c r="E527" s="1307" t="s">
        <v>3338</v>
      </c>
      <c r="F527" s="1308"/>
      <c r="G527" s="1307"/>
      <c r="H527" s="1307"/>
      <c r="I527" s="1308"/>
      <c r="J527" s="1311" t="e">
        <f>SUM(J525:J526)</f>
        <v>#N/A</v>
      </c>
      <c r="K527" s="1314" t="e">
        <f>+J527/J525</f>
        <v>#N/A</v>
      </c>
      <c r="L527" s="1317"/>
      <c r="M527" s="1317"/>
      <c r="N527" s="1317"/>
      <c r="O527" s="1311" t="e">
        <f>SUM(O525:O526)</f>
        <v>#N/A</v>
      </c>
      <c r="P527" s="1314" t="e">
        <f>+O527/O525</f>
        <v>#N/A</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07"/>
      <c r="D528" s="1309"/>
      <c r="E528" s="1307"/>
      <c r="F528" s="1308"/>
      <c r="G528" s="1307"/>
      <c r="H528" s="1307"/>
      <c r="I528" s="1308"/>
      <c r="J528" s="1309"/>
      <c r="K528" s="1307"/>
      <c r="L528" s="1317"/>
      <c r="M528" s="1317"/>
      <c r="N528" s="1317"/>
      <c r="O528" s="1309"/>
      <c r="P528" s="1307"/>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307"/>
      <c r="D529" s="1309"/>
      <c r="E529" s="1307"/>
      <c r="F529" s="1308"/>
      <c r="G529" s="1307"/>
      <c r="H529" s="1307"/>
      <c r="I529" s="1308"/>
      <c r="J529" s="1307"/>
      <c r="K529" s="1307"/>
      <c r="L529" s="1317"/>
      <c r="M529" s="1317"/>
      <c r="N529" s="1317"/>
      <c r="O529" s="1307"/>
      <c r="P529" s="1307"/>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307"/>
      <c r="D530" s="1309">
        <v>4705</v>
      </c>
      <c r="E530" s="1307" t="e">
        <f>VLOOKUP(D530,BV_Data_An_Cour!M:N,2,FALSE)</f>
        <v>#N/A</v>
      </c>
      <c r="F530" s="1308"/>
      <c r="G530" s="1307"/>
      <c r="H530" s="1307"/>
      <c r="I530" s="1308"/>
      <c r="J530" s="1310" t="e">
        <f>-VLOOKUP(D530,BV_Data_An_Cour!M:Q,4,FALSE)</f>
        <v>#N/A</v>
      </c>
      <c r="K530" s="1307"/>
      <c r="L530" s="1317"/>
      <c r="M530" s="1317"/>
      <c r="N530" s="1317"/>
      <c r="O530" s="1310" t="e">
        <f>-VLOOKUP(D530,BV_Data_An_Cour!M:Q,5,FALSE)</f>
        <v>#N/A</v>
      </c>
      <c r="P530" s="1307"/>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307"/>
      <c r="D531" s="1309">
        <v>5705</v>
      </c>
      <c r="E531" s="1307" t="e">
        <f>VLOOKUP(D531,BV_Data_An_Cour!M:N,2,FALSE)</f>
        <v>#N/A</v>
      </c>
      <c r="F531" s="1308"/>
      <c r="G531" s="1307"/>
      <c r="H531" s="1307"/>
      <c r="I531" s="1308"/>
      <c r="J531" s="1310" t="e">
        <f>-VLOOKUP(D531,BV_Data_An_Cour!M:Q,4,FALSE)</f>
        <v>#N/A</v>
      </c>
      <c r="K531" s="1313" t="e">
        <f>-J531/J530</f>
        <v>#N/A</v>
      </c>
      <c r="L531" s="1317"/>
      <c r="M531" s="1317"/>
      <c r="N531" s="1317"/>
      <c r="O531" s="1310" t="e">
        <f>-VLOOKUP(D531,BV_Data_An_Cour!M:Q,5,FALSE)</f>
        <v>#N/A</v>
      </c>
      <c r="P531" s="1313" t="e">
        <f>-O531/O530</f>
        <v>#N/A</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307"/>
      <c r="D532" s="1307"/>
      <c r="E532" s="1307" t="s">
        <v>3339</v>
      </c>
      <c r="F532" s="1308"/>
      <c r="G532" s="1307"/>
      <c r="H532" s="1307"/>
      <c r="I532" s="1308"/>
      <c r="J532" s="1311" t="e">
        <f>SUM(J530:J531)</f>
        <v>#N/A</v>
      </c>
      <c r="K532" s="1314" t="e">
        <f>+J532/J530</f>
        <v>#N/A</v>
      </c>
      <c r="L532" s="1317"/>
      <c r="M532" s="1317"/>
      <c r="N532" s="1317"/>
      <c r="O532" s="1311" t="e">
        <f>SUM(O530:O531)</f>
        <v>#N/A</v>
      </c>
      <c r="P532" s="1314" t="e">
        <f>+O532/O530</f>
        <v>#N/A</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307"/>
      <c r="D533" s="1309"/>
      <c r="E533" s="1307"/>
      <c r="F533" s="1308"/>
      <c r="G533" s="1307"/>
      <c r="H533" s="1307"/>
      <c r="I533" s="1308"/>
      <c r="J533" s="1309"/>
      <c r="K533" s="1307"/>
      <c r="L533" s="1317"/>
      <c r="M533" s="1317"/>
      <c r="N533" s="1317"/>
      <c r="O533" s="1309"/>
      <c r="P533" s="1307"/>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307" t="s">
        <v>3335</v>
      </c>
      <c r="E534" s="1307"/>
      <c r="F534" s="1308"/>
      <c r="G534" s="1307"/>
      <c r="H534" s="1307"/>
      <c r="I534" s="1308"/>
      <c r="J534" s="1307"/>
      <c r="K534" s="1307"/>
      <c r="L534" s="1317"/>
      <c r="M534" s="1317"/>
      <c r="N534" s="1317"/>
      <c r="O534" s="1307"/>
      <c r="P534" s="1307"/>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309"/>
      <c r="E535" s="1307" t="s">
        <v>3340</v>
      </c>
      <c r="F535" s="1308"/>
      <c r="G535" s="1307"/>
      <c r="H535" s="1307"/>
      <c r="I535" s="1308"/>
      <c r="J535" s="1310" t="e">
        <f>+J525</f>
        <v>#N/A</v>
      </c>
      <c r="K535" s="1307"/>
      <c r="L535" s="1317"/>
      <c r="M535" s="1317"/>
      <c r="N535" s="1317"/>
      <c r="O535" s="1310" t="e">
        <f>+O525</f>
        <v>#N/A</v>
      </c>
      <c r="P535" s="1307"/>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309"/>
      <c r="E536" s="1307" t="s">
        <v>3341</v>
      </c>
      <c r="F536" s="1308"/>
      <c r="G536" s="1307"/>
      <c r="H536" s="1307"/>
      <c r="I536" s="1308"/>
      <c r="J536" s="1310" t="e">
        <f>+J526</f>
        <v>#N/A</v>
      </c>
      <c r="K536" s="1313" t="e">
        <f>-J536/J535</f>
        <v>#N/A</v>
      </c>
      <c r="L536" s="1317"/>
      <c r="M536" s="1317"/>
      <c r="N536" s="1317"/>
      <c r="O536" s="1310" t="e">
        <f>+O526</f>
        <v>#N/A</v>
      </c>
      <c r="P536" s="1313" t="e">
        <f>-O536/O535</f>
        <v>#N/A</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309"/>
      <c r="E537" s="1307"/>
      <c r="F537" s="1308"/>
      <c r="G537" s="1307"/>
      <c r="H537" s="1307"/>
      <c r="I537" s="1308"/>
      <c r="J537" s="1311" t="e">
        <f>SUM(J535:J536)</f>
        <v>#N/A</v>
      </c>
      <c r="K537" s="1314" t="e">
        <f>+J537/J535</f>
        <v>#N/A</v>
      </c>
      <c r="L537" s="1317"/>
      <c r="M537" s="1317"/>
      <c r="N537" s="1317"/>
      <c r="O537" s="1311" t="e">
        <f>SUM(O535:O536)</f>
        <v>#N/A</v>
      </c>
      <c r="P537" s="1314" t="e">
        <f>+O537/O535</f>
        <v>#N/A</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J177:J178 J180:J195 L176 I176:J176 L179 I179:J179">
    <cfRule type="expression" dxfId="699" priority="593" stopIfTrue="1">
      <formula>"esterreur(reference)"</formula>
    </cfRule>
  </conditionalFormatting>
  <conditionalFormatting sqref="M95:M96">
    <cfRule type="expression" dxfId="698" priority="594" stopIfTrue="1">
      <formula>"esterreur(reference)"</formula>
    </cfRule>
  </conditionalFormatting>
  <conditionalFormatting sqref="H275:H280 J275:K280">
    <cfRule type="expression" dxfId="697" priority="595" stopIfTrue="1">
      <formula>"esterreur(reference)"</formula>
    </cfRule>
  </conditionalFormatting>
  <conditionalFormatting sqref="H219:H224 J219:K224">
    <cfRule type="expression" dxfId="696" priority="596" stopIfTrue="1">
      <formula>"esterreur(reference)"</formula>
    </cfRule>
  </conditionalFormatting>
  <conditionalFormatting sqref="H141:H147 J141:K147">
    <cfRule type="expression" dxfId="695" priority="597" stopIfTrue="1">
      <formula>"esterreur(reference)"</formula>
    </cfRule>
  </conditionalFormatting>
  <conditionalFormatting sqref="H137:H139 J137:K139">
    <cfRule type="expression" dxfId="694" priority="598" stopIfTrue="1">
      <formula>"esterreur(reference)"</formula>
    </cfRule>
  </conditionalFormatting>
  <conditionalFormatting sqref="H140 J140:K140">
    <cfRule type="expression" dxfId="693" priority="599" stopIfTrue="1">
      <formula>"esterreur(reference)"</formula>
    </cfRule>
  </conditionalFormatting>
  <conditionalFormatting sqref="L82">
    <cfRule type="expression" dxfId="692" priority="540" stopIfTrue="1">
      <formula>"esterreur(reference)"</formula>
    </cfRule>
  </conditionalFormatting>
  <conditionalFormatting sqref="M311">
    <cfRule type="expression" dxfId="691" priority="601" stopIfTrue="1">
      <formula>"esterreur(reference)"</formula>
    </cfRule>
  </conditionalFormatting>
  <conditionalFormatting sqref="R311">
    <cfRule type="expression" dxfId="690" priority="602" stopIfTrue="1">
      <formula>"esterreur(reference)"</formula>
    </cfRule>
  </conditionalFormatting>
  <conditionalFormatting sqref="AG408:AI413 AH490:AI490 AH465:AI467 AH452:AI459 AH432:AI447 AH460:AH461 AI491:AI493 AH419:AI423 AH427:AI430 AI424:AI426">
    <cfRule type="cellIs" dxfId="689" priority="603" operator="greaterThan">
      <formula>0</formula>
    </cfRule>
  </conditionalFormatting>
  <conditionalFormatting sqref="AH468:AI475 AH479:AI479">
    <cfRule type="cellIs" dxfId="688" priority="604" operator="lessThan">
      <formula>0</formula>
    </cfRule>
  </conditionalFormatting>
  <conditionalFormatting sqref="AH491:AH493">
    <cfRule type="cellIs" dxfId="687" priority="607" operator="greaterThan">
      <formula>0</formula>
    </cfRule>
  </conditionalFormatting>
  <conditionalFormatting sqref="J281:K283">
    <cfRule type="expression" dxfId="686" priority="611" stopIfTrue="1">
      <formula>"esterreur(reference)"</formula>
    </cfRule>
  </conditionalFormatting>
  <conditionalFormatting sqref="K356 J356:J357 H356:I356 L355:L356 H358:L358">
    <cfRule type="expression" dxfId="685" priority="615" stopIfTrue="1">
      <formula>"esterreur(reference)"</formula>
    </cfRule>
  </conditionalFormatting>
  <conditionalFormatting sqref="H396">
    <cfRule type="expression" dxfId="684" priority="616" stopIfTrue="1">
      <formula>"esterreur(reference)"</formula>
    </cfRule>
  </conditionalFormatting>
  <conditionalFormatting sqref="I376:L376 H377:H392 J377:K392">
    <cfRule type="expression" dxfId="683" priority="617" stopIfTrue="1">
      <formula>"esterreur(reference)"</formula>
    </cfRule>
  </conditionalFormatting>
  <conditionalFormatting sqref="H397:L398 I396:L396 H395:L395 H393:H394 J393:K393">
    <cfRule type="expression" dxfId="682" priority="618" stopIfTrue="1">
      <formula>"esterreur(reference)"</formula>
    </cfRule>
  </conditionalFormatting>
  <conditionalFormatting sqref="H360:L362 H359 K359">
    <cfRule type="expression" dxfId="681" priority="619" stopIfTrue="1">
      <formula>"esterreur(reference)"</formula>
    </cfRule>
  </conditionalFormatting>
  <conditionalFormatting sqref="K394">
    <cfRule type="expression" dxfId="680" priority="620" stopIfTrue="1">
      <formula>"esterreur(reference)"</formula>
    </cfRule>
  </conditionalFormatting>
  <conditionalFormatting sqref="H316:L316">
    <cfRule type="expression" dxfId="679" priority="624" stopIfTrue="1">
      <formula>"esterreur(reference)"</formula>
    </cfRule>
  </conditionalFormatting>
  <conditionalFormatting sqref="H196:L196">
    <cfRule type="expression" dxfId="678" priority="625" stopIfTrue="1">
      <formula>"esterreur(reference)"</formula>
    </cfRule>
  </conditionalFormatting>
  <conditionalFormatting sqref="J55:K56 J71:K71">
    <cfRule type="expression" dxfId="677" priority="630" stopIfTrue="1">
      <formula>"esterreur(reference)"</formula>
    </cfRule>
  </conditionalFormatting>
  <conditionalFormatting sqref="J61:K70">
    <cfRule type="expression" dxfId="676" priority="631" stopIfTrue="1">
      <formula>"esterreur(reference)"</formula>
    </cfRule>
  </conditionalFormatting>
  <conditionalFormatting sqref="J57:K59">
    <cfRule type="expression" dxfId="675" priority="632" stopIfTrue="1">
      <formula>"esterreur(reference)"</formula>
    </cfRule>
  </conditionalFormatting>
  <conditionalFormatting sqref="J60:K60">
    <cfRule type="expression" dxfId="674" priority="633" stopIfTrue="1">
      <formula>"esterreur(reference)"</formula>
    </cfRule>
  </conditionalFormatting>
  <conditionalFormatting sqref="L19 L21:L23">
    <cfRule type="expression" dxfId="673" priority="589" stopIfTrue="1">
      <formula>"esterreur(reference)"</formula>
    </cfRule>
  </conditionalFormatting>
  <conditionalFormatting sqref="K98">
    <cfRule type="expression" dxfId="672" priority="635" stopIfTrue="1">
      <formula>"esterreur(reference)"</formula>
    </cfRule>
  </conditionalFormatting>
  <conditionalFormatting sqref="L331:L347">
    <cfRule type="expression" dxfId="671" priority="415" stopIfTrue="1">
      <formula>"esterreur(reference)"</formula>
    </cfRule>
  </conditionalFormatting>
  <conditionalFormatting sqref="L16:L17">
    <cfRule type="expression" dxfId="670" priority="591" stopIfTrue="1">
      <formula>"esterreur(reference)"</formula>
    </cfRule>
  </conditionalFormatting>
  <conditionalFormatting sqref="L20">
    <cfRule type="expression" dxfId="669" priority="586" stopIfTrue="1">
      <formula>"esterreur(reference)"</formula>
    </cfRule>
  </conditionalFormatting>
  <conditionalFormatting sqref="L325">
    <cfRule type="expression" dxfId="668" priority="420" stopIfTrue="1">
      <formula>"esterreur(reference)"</formula>
    </cfRule>
  </conditionalFormatting>
  <conditionalFormatting sqref="L326">
    <cfRule type="expression" dxfId="667" priority="419" stopIfTrue="1">
      <formula>"esterreur(reference)"</formula>
    </cfRule>
  </conditionalFormatting>
  <conditionalFormatting sqref="L327">
    <cfRule type="expression" dxfId="666" priority="418" stopIfTrue="1">
      <formula>"esterreur(reference)"</formula>
    </cfRule>
  </conditionalFormatting>
  <conditionalFormatting sqref="L328">
    <cfRule type="expression" dxfId="665" priority="417" stopIfTrue="1">
      <formula>"esterreur(reference)"</formula>
    </cfRule>
  </conditionalFormatting>
  <conditionalFormatting sqref="L42">
    <cfRule type="expression" dxfId="664" priority="570" stopIfTrue="1">
      <formula>"esterreur(reference)"</formula>
    </cfRule>
  </conditionalFormatting>
  <conditionalFormatting sqref="L43">
    <cfRule type="expression" dxfId="663" priority="569" stopIfTrue="1">
      <formula>"esterreur(reference)"</formula>
    </cfRule>
  </conditionalFormatting>
  <conditionalFormatting sqref="L44">
    <cfRule type="expression" dxfId="662" priority="568" stopIfTrue="1">
      <formula>"esterreur(reference)"</formula>
    </cfRule>
  </conditionalFormatting>
  <conditionalFormatting sqref="L45:L48">
    <cfRule type="expression" dxfId="661" priority="567" stopIfTrue="1">
      <formula>"esterreur(reference)"</formula>
    </cfRule>
  </conditionalFormatting>
  <conditionalFormatting sqref="L55">
    <cfRule type="expression" dxfId="660" priority="561" stopIfTrue="1">
      <formula>"esterreur(reference)"</formula>
    </cfRule>
  </conditionalFormatting>
  <conditionalFormatting sqref="L56">
    <cfRule type="expression" dxfId="659" priority="560" stopIfTrue="1">
      <formula>"esterreur(reference)"</formula>
    </cfRule>
  </conditionalFormatting>
  <conditionalFormatting sqref="L271">
    <cfRule type="expression" dxfId="658" priority="435" stopIfTrue="1">
      <formula>"esterreur(reference)"</formula>
    </cfRule>
  </conditionalFormatting>
  <conditionalFormatting sqref="L58">
    <cfRule type="expression" dxfId="657" priority="558" stopIfTrue="1">
      <formula>"esterreur(reference)"</formula>
    </cfRule>
  </conditionalFormatting>
  <conditionalFormatting sqref="L61">
    <cfRule type="expression" dxfId="656" priority="555" stopIfTrue="1">
      <formula>"esterreur(reference)"</formula>
    </cfRule>
  </conditionalFormatting>
  <conditionalFormatting sqref="L274">
    <cfRule type="expression" dxfId="655" priority="433" stopIfTrue="1">
      <formula>"esterreur(reference)"</formula>
    </cfRule>
  </conditionalFormatting>
  <conditionalFormatting sqref="L63">
    <cfRule type="expression" dxfId="654" priority="554" stopIfTrue="1">
      <formula>"esterreur(reference)"</formula>
    </cfRule>
  </conditionalFormatting>
  <conditionalFormatting sqref="L62">
    <cfRule type="expression" dxfId="653" priority="553" stopIfTrue="1">
      <formula>"esterreur(reference)"</formula>
    </cfRule>
  </conditionalFormatting>
  <conditionalFormatting sqref="L64">
    <cfRule type="expression" dxfId="652" priority="552" stopIfTrue="1">
      <formula>"esterreur(reference)"</formula>
    </cfRule>
  </conditionalFormatting>
  <conditionalFormatting sqref="L65">
    <cfRule type="expression" dxfId="651" priority="551" stopIfTrue="1">
      <formula>"esterreur(reference)"</formula>
    </cfRule>
  </conditionalFormatting>
  <conditionalFormatting sqref="L69 L66:L67">
    <cfRule type="expression" dxfId="650" priority="550" stopIfTrue="1">
      <formula>"esterreur(reference)"</formula>
    </cfRule>
  </conditionalFormatting>
  <conditionalFormatting sqref="L70">
    <cfRule type="expression" dxfId="649" priority="549" stopIfTrue="1">
      <formula>"esterreur(reference)"</formula>
    </cfRule>
  </conditionalFormatting>
  <conditionalFormatting sqref="L76:L77">
    <cfRule type="expression" dxfId="648" priority="545" stopIfTrue="1">
      <formula>"esterreur(reference)"</formula>
    </cfRule>
  </conditionalFormatting>
  <conditionalFormatting sqref="L78:L81">
    <cfRule type="expression" dxfId="647" priority="544" stopIfTrue="1">
      <formula>"esterreur(reference)"</formula>
    </cfRule>
  </conditionalFormatting>
  <conditionalFormatting sqref="L57">
    <cfRule type="expression" dxfId="646" priority="535" stopIfTrue="1">
      <formula>"esterreur(reference)"</formula>
    </cfRule>
  </conditionalFormatting>
  <conditionalFormatting sqref="L94:L95">
    <cfRule type="expression" dxfId="645" priority="533" stopIfTrue="1">
      <formula>"esterreur(reference)"</formula>
    </cfRule>
  </conditionalFormatting>
  <conditionalFormatting sqref="L98">
    <cfRule type="expression" dxfId="644" priority="532" stopIfTrue="1">
      <formula>"esterreur(reference)"</formula>
    </cfRule>
  </conditionalFormatting>
  <conditionalFormatting sqref="L99">
    <cfRule type="expression" dxfId="643" priority="531" stopIfTrue="1">
      <formula>"esterreur(reference)"</formula>
    </cfRule>
  </conditionalFormatting>
  <conditionalFormatting sqref="L101">
    <cfRule type="expression" dxfId="642" priority="530" stopIfTrue="1">
      <formula>"esterreur(reference)"</formula>
    </cfRule>
  </conditionalFormatting>
  <conditionalFormatting sqref="L102">
    <cfRule type="expression" dxfId="641" priority="529" stopIfTrue="1">
      <formula>"esterreur(reference)"</formula>
    </cfRule>
  </conditionalFormatting>
  <conditionalFormatting sqref="L103">
    <cfRule type="expression" dxfId="640" priority="527" stopIfTrue="1">
      <formula>"esterreur(reference)"</formula>
    </cfRule>
  </conditionalFormatting>
  <conditionalFormatting sqref="L111">
    <cfRule type="expression" dxfId="639" priority="526" stopIfTrue="1">
      <formula>"esterreur(reference)"</formula>
    </cfRule>
  </conditionalFormatting>
  <conditionalFormatting sqref="L112">
    <cfRule type="expression" dxfId="638" priority="525" stopIfTrue="1">
      <formula>"esterreur(reference)"</formula>
    </cfRule>
  </conditionalFormatting>
  <conditionalFormatting sqref="L207">
    <cfRule type="expression" dxfId="637" priority="461" stopIfTrue="1">
      <formula>"esterreur(reference)"</formula>
    </cfRule>
  </conditionalFormatting>
  <conditionalFormatting sqref="L114">
    <cfRule type="expression" dxfId="636" priority="523" stopIfTrue="1">
      <formula>"esterreur(reference)"</formula>
    </cfRule>
  </conditionalFormatting>
  <conditionalFormatting sqref="L227">
    <cfRule type="expression" dxfId="635" priority="457" stopIfTrue="1">
      <formula>"esterreur(reference)"</formula>
    </cfRule>
  </conditionalFormatting>
  <conditionalFormatting sqref="L116:L119">
    <cfRule type="expression" dxfId="634" priority="521" stopIfTrue="1">
      <formula>"esterreur(reference)"</formula>
    </cfRule>
  </conditionalFormatting>
  <conditionalFormatting sqref="L120">
    <cfRule type="expression" dxfId="633" priority="520" stopIfTrue="1">
      <formula>"esterreur(reference)"</formula>
    </cfRule>
  </conditionalFormatting>
  <conditionalFormatting sqref="L130">
    <cfRule type="expression" dxfId="632" priority="508" stopIfTrue="1">
      <formula>"esterreur(reference)"</formula>
    </cfRule>
  </conditionalFormatting>
  <conditionalFormatting sqref="L124">
    <cfRule type="expression" dxfId="631" priority="515" stopIfTrue="1">
      <formula>"esterreur(reference)"</formula>
    </cfRule>
  </conditionalFormatting>
  <conditionalFormatting sqref="L123">
    <cfRule type="expression" dxfId="630" priority="513" stopIfTrue="1">
      <formula>"esterreur(reference)"</formula>
    </cfRule>
  </conditionalFormatting>
  <conditionalFormatting sqref="L138">
    <cfRule type="expression" dxfId="629" priority="501" stopIfTrue="1">
      <formula>"esterreur(reference)"</formula>
    </cfRule>
  </conditionalFormatting>
  <conditionalFormatting sqref="L131">
    <cfRule type="expression" dxfId="628" priority="507" stopIfTrue="1">
      <formula>"esterreur(reference)"</formula>
    </cfRule>
  </conditionalFormatting>
  <conditionalFormatting sqref="L132">
    <cfRule type="expression" dxfId="627" priority="506" stopIfTrue="1">
      <formula>"esterreur(reference)"</formula>
    </cfRule>
  </conditionalFormatting>
  <conditionalFormatting sqref="L133">
    <cfRule type="expression" dxfId="626" priority="505" stopIfTrue="1">
      <formula>"esterreur(reference)"</formula>
    </cfRule>
  </conditionalFormatting>
  <conditionalFormatting sqref="L139">
    <cfRule type="expression" dxfId="625" priority="500" stopIfTrue="1">
      <formula>"esterreur(reference)"</formula>
    </cfRule>
  </conditionalFormatting>
  <conditionalFormatting sqref="L136">
    <cfRule type="expression" dxfId="624" priority="503" stopIfTrue="1">
      <formula>"esterreur(reference)"</formula>
    </cfRule>
  </conditionalFormatting>
  <conditionalFormatting sqref="L137">
    <cfRule type="expression" dxfId="623" priority="502" stopIfTrue="1">
      <formula>"esterreur(reference)"</formula>
    </cfRule>
  </conditionalFormatting>
  <conditionalFormatting sqref="L140">
    <cfRule type="expression" dxfId="622" priority="499" stopIfTrue="1">
      <formula>"esterreur(reference)"</formula>
    </cfRule>
  </conditionalFormatting>
  <conditionalFormatting sqref="L141">
    <cfRule type="expression" dxfId="621" priority="498" stopIfTrue="1">
      <formula>"esterreur(reference)"</formula>
    </cfRule>
  </conditionalFormatting>
  <conditionalFormatting sqref="L142">
    <cfRule type="expression" dxfId="620" priority="497" stopIfTrue="1">
      <formula>"esterreur(reference)"</formula>
    </cfRule>
  </conditionalFormatting>
  <conditionalFormatting sqref="L143">
    <cfRule type="expression" dxfId="619" priority="496" stopIfTrue="1">
      <formula>"esterreur(reference)"</formula>
    </cfRule>
  </conditionalFormatting>
  <conditionalFormatting sqref="L144">
    <cfRule type="expression" dxfId="618" priority="495" stopIfTrue="1">
      <formula>"esterreur(reference)"</formula>
    </cfRule>
  </conditionalFormatting>
  <conditionalFormatting sqref="L145">
    <cfRule type="expression" dxfId="617" priority="494" stopIfTrue="1">
      <formula>"esterreur(reference)"</formula>
    </cfRule>
  </conditionalFormatting>
  <conditionalFormatting sqref="L146">
    <cfRule type="expression" dxfId="616" priority="493" stopIfTrue="1">
      <formula>"esterreur(reference)"</formula>
    </cfRule>
  </conditionalFormatting>
  <conditionalFormatting sqref="L147">
    <cfRule type="expression" dxfId="615" priority="492" stopIfTrue="1">
      <formula>"esterreur(reference)"</formula>
    </cfRule>
  </conditionalFormatting>
  <conditionalFormatting sqref="L155">
    <cfRule type="expression" dxfId="614" priority="487" stopIfTrue="1">
      <formula>"esterreur(reference)"</formula>
    </cfRule>
  </conditionalFormatting>
  <conditionalFormatting sqref="L157">
    <cfRule type="expression" dxfId="613" priority="485" stopIfTrue="1">
      <formula>"esterreur(reference)"</formula>
    </cfRule>
  </conditionalFormatting>
  <conditionalFormatting sqref="L156">
    <cfRule type="expression" dxfId="612" priority="486" stopIfTrue="1">
      <formula>"esterreur(reference)"</formula>
    </cfRule>
  </conditionalFormatting>
  <conditionalFormatting sqref="L115">
    <cfRule type="expression" dxfId="611" priority="478" stopIfTrue="1">
      <formula>"esterreur(reference)"</formula>
    </cfRule>
  </conditionalFormatting>
  <conditionalFormatting sqref="L113">
    <cfRule type="expression" dxfId="610" priority="477" stopIfTrue="1">
      <formula>"esterreur(reference)"</formula>
    </cfRule>
  </conditionalFormatting>
  <conditionalFormatting sqref="L171">
    <cfRule type="expression" dxfId="609" priority="476" stopIfTrue="1">
      <formula>"esterreur(reference)"</formula>
    </cfRule>
  </conditionalFormatting>
  <conditionalFormatting sqref="L174">
    <cfRule type="expression" dxfId="608" priority="475" stopIfTrue="1">
      <formula>"esterreur(reference)"</formula>
    </cfRule>
  </conditionalFormatting>
  <conditionalFormatting sqref="L177">
    <cfRule type="expression" dxfId="607" priority="474" stopIfTrue="1">
      <formula>"esterreur(reference)"</formula>
    </cfRule>
  </conditionalFormatting>
  <conditionalFormatting sqref="L187">
    <cfRule type="expression" dxfId="606" priority="471" stopIfTrue="1">
      <formula>"esterreur(reference)"</formula>
    </cfRule>
  </conditionalFormatting>
  <conditionalFormatting sqref="L197">
    <cfRule type="expression" dxfId="605" priority="470" stopIfTrue="1">
      <formula>"esterreur(reference)"</formula>
    </cfRule>
  </conditionalFormatting>
  <conditionalFormatting sqref="L199">
    <cfRule type="expression" dxfId="604" priority="469" stopIfTrue="1">
      <formula>"esterreur(reference)"</formula>
    </cfRule>
  </conditionalFormatting>
  <conditionalFormatting sqref="L198">
    <cfRule type="expression" dxfId="603" priority="468" stopIfTrue="1">
      <formula>"esterreur(reference)"</formula>
    </cfRule>
  </conditionalFormatting>
  <conditionalFormatting sqref="L200">
    <cfRule type="expression" dxfId="602" priority="467" stopIfTrue="1">
      <formula>"esterreur(reference)"</formula>
    </cfRule>
  </conditionalFormatting>
  <conditionalFormatting sqref="L201">
    <cfRule type="expression" dxfId="601" priority="466" stopIfTrue="1">
      <formula>"esterreur(reference)"</formula>
    </cfRule>
  </conditionalFormatting>
  <conditionalFormatting sqref="L202:L204">
    <cfRule type="expression" dxfId="600" priority="465" stopIfTrue="1">
      <formula>"esterreur(reference)"</formula>
    </cfRule>
  </conditionalFormatting>
  <conditionalFormatting sqref="L206">
    <cfRule type="expression" dxfId="599" priority="462" stopIfTrue="1">
      <formula>"esterreur(reference)"</formula>
    </cfRule>
  </conditionalFormatting>
  <conditionalFormatting sqref="L205">
    <cfRule type="expression" dxfId="598" priority="463" stopIfTrue="1">
      <formula>"esterreur(reference)"</formula>
    </cfRule>
  </conditionalFormatting>
  <conditionalFormatting sqref="L208">
    <cfRule type="expression" dxfId="597" priority="460" stopIfTrue="1">
      <formula>"esterreur(reference)"</formula>
    </cfRule>
  </conditionalFormatting>
  <conditionalFormatting sqref="L211:L224">
    <cfRule type="expression" dxfId="596" priority="459" stopIfTrue="1">
      <formula>"esterreur(reference)"</formula>
    </cfRule>
  </conditionalFormatting>
  <conditionalFormatting sqref="L225:L226">
    <cfRule type="expression" dxfId="595" priority="458" stopIfTrue="1">
      <formula>"esterreur(reference)"</formula>
    </cfRule>
  </conditionalFormatting>
  <conditionalFormatting sqref="L180">
    <cfRule type="expression" dxfId="594" priority="455" stopIfTrue="1">
      <formula>"esterreur(reference)"</formula>
    </cfRule>
  </conditionalFormatting>
  <conditionalFormatting sqref="L243">
    <cfRule type="expression" dxfId="593" priority="453" stopIfTrue="1">
      <formula>"esterreur(reference)"</formula>
    </cfRule>
  </conditionalFormatting>
  <conditionalFormatting sqref="L246">
    <cfRule type="expression" dxfId="592" priority="452" stopIfTrue="1">
      <formula>"esterreur(reference)"</formula>
    </cfRule>
  </conditionalFormatting>
  <conditionalFormatting sqref="L253">
    <cfRule type="expression" dxfId="591" priority="451" stopIfTrue="1">
      <formula>"esterreur(reference)"</formula>
    </cfRule>
  </conditionalFormatting>
  <conditionalFormatting sqref="L254">
    <cfRule type="expression" dxfId="590" priority="450" stopIfTrue="1">
      <formula>"esterreur(reference)"</formula>
    </cfRule>
  </conditionalFormatting>
  <conditionalFormatting sqref="L255">
    <cfRule type="expression" dxfId="589" priority="449" stopIfTrue="1">
      <formula>"esterreur(reference)"</formula>
    </cfRule>
  </conditionalFormatting>
  <conditionalFormatting sqref="L256">
    <cfRule type="expression" dxfId="588" priority="448" stopIfTrue="1">
      <formula>"esterreur(reference)"</formula>
    </cfRule>
  </conditionalFormatting>
  <conditionalFormatting sqref="L257">
    <cfRule type="expression" dxfId="587" priority="447" stopIfTrue="1">
      <formula>"esterreur(reference)"</formula>
    </cfRule>
  </conditionalFormatting>
  <conditionalFormatting sqref="L258">
    <cfRule type="expression" dxfId="586" priority="446" stopIfTrue="1">
      <formula>"esterreur(reference)"</formula>
    </cfRule>
  </conditionalFormatting>
  <conditionalFormatting sqref="L259">
    <cfRule type="expression" dxfId="585" priority="445" stopIfTrue="1">
      <formula>"esterreur(reference)"</formula>
    </cfRule>
  </conditionalFormatting>
  <conditionalFormatting sqref="L260">
    <cfRule type="expression" dxfId="584" priority="444" stopIfTrue="1">
      <formula>"esterreur(reference)"</formula>
    </cfRule>
  </conditionalFormatting>
  <conditionalFormatting sqref="L261">
    <cfRule type="expression" dxfId="583" priority="443" stopIfTrue="1">
      <formula>"esterreur(reference)"</formula>
    </cfRule>
  </conditionalFormatting>
  <conditionalFormatting sqref="L262">
    <cfRule type="expression" dxfId="582" priority="442" stopIfTrue="1">
      <formula>"esterreur(reference)"</formula>
    </cfRule>
  </conditionalFormatting>
  <conditionalFormatting sqref="L263:L264">
    <cfRule type="expression" dxfId="581" priority="441" stopIfTrue="1">
      <formula>"esterreur(reference)"</formula>
    </cfRule>
  </conditionalFormatting>
  <conditionalFormatting sqref="L268">
    <cfRule type="expression" dxfId="580" priority="438" stopIfTrue="1">
      <formula>"esterreur(reference)"</formula>
    </cfRule>
  </conditionalFormatting>
  <conditionalFormatting sqref="L267">
    <cfRule type="expression" dxfId="579" priority="439" stopIfTrue="1">
      <formula>"esterreur(reference)"</formula>
    </cfRule>
  </conditionalFormatting>
  <conditionalFormatting sqref="L269">
    <cfRule type="expression" dxfId="578" priority="437" stopIfTrue="1">
      <formula>"esterreur(reference)"</formula>
    </cfRule>
  </conditionalFormatting>
  <conditionalFormatting sqref="L270">
    <cfRule type="expression" dxfId="577" priority="436" stopIfTrue="1">
      <formula>"esterreur(reference)"</formula>
    </cfRule>
  </conditionalFormatting>
  <conditionalFormatting sqref="L272:L273">
    <cfRule type="expression" dxfId="576" priority="434" stopIfTrue="1">
      <formula>"esterreur(reference)"</formula>
    </cfRule>
  </conditionalFormatting>
  <conditionalFormatting sqref="L311">
    <cfRule type="expression" dxfId="575" priority="424" stopIfTrue="1">
      <formula>"esterreur(reference)"</formula>
    </cfRule>
  </conditionalFormatting>
  <conditionalFormatting sqref="L317">
    <cfRule type="expression" dxfId="574" priority="423" stopIfTrue="1">
      <formula>"esterreur(reference)"</formula>
    </cfRule>
  </conditionalFormatting>
  <conditionalFormatting sqref="L318">
    <cfRule type="expression" dxfId="573" priority="422" stopIfTrue="1">
      <formula>"esterreur(reference)"</formula>
    </cfRule>
  </conditionalFormatting>
  <conditionalFormatting sqref="K5">
    <cfRule type="expression" dxfId="572" priority="413" stopIfTrue="1">
      <formula>"esterreur(reference)"</formula>
    </cfRule>
  </conditionalFormatting>
  <conditionalFormatting sqref="L5">
    <cfRule type="expression" dxfId="571" priority="411" stopIfTrue="1">
      <formula>"esterreur(reference)"</formula>
    </cfRule>
  </conditionalFormatting>
  <conditionalFormatting sqref="K182">
    <cfRule type="expression" dxfId="570" priority="402" stopIfTrue="1">
      <formula>"esterreur(reference)"</formula>
    </cfRule>
  </conditionalFormatting>
  <conditionalFormatting sqref="L93">
    <cfRule type="expression" dxfId="569" priority="383" stopIfTrue="1">
      <formula>"esterreur(reference)"</formula>
    </cfRule>
  </conditionalFormatting>
  <conditionalFormatting sqref="K171">
    <cfRule type="expression" dxfId="568" priority="381" stopIfTrue="1">
      <formula>"esterreur(reference)"</formula>
    </cfRule>
  </conditionalFormatting>
  <conditionalFormatting sqref="K174">
    <cfRule type="expression" dxfId="567" priority="380" stopIfTrue="1">
      <formula>"esterreur(reference)"</formula>
    </cfRule>
  </conditionalFormatting>
  <conditionalFormatting sqref="K177">
    <cfRule type="expression" dxfId="566" priority="379" stopIfTrue="1">
      <formula>"esterreur(reference)"</formula>
    </cfRule>
  </conditionalFormatting>
  <conditionalFormatting sqref="K180">
    <cfRule type="expression" dxfId="565" priority="377" stopIfTrue="1">
      <formula>"esterreur(reference)"</formula>
    </cfRule>
  </conditionalFormatting>
  <conditionalFormatting sqref="K240">
    <cfRule type="expression" dxfId="564" priority="373" stopIfTrue="1">
      <formula>"esterreur(reference)"</formula>
    </cfRule>
  </conditionalFormatting>
  <conditionalFormatting sqref="K243">
    <cfRule type="expression" dxfId="563" priority="372" stopIfTrue="1">
      <formula>"esterreur(reference)"</formula>
    </cfRule>
  </conditionalFormatting>
  <conditionalFormatting sqref="K246">
    <cfRule type="expression" dxfId="562" priority="370" stopIfTrue="1">
      <formula>"esterreur(reference)"</formula>
    </cfRule>
  </conditionalFormatting>
  <conditionalFormatting sqref="J306:J307">
    <cfRule type="expression" dxfId="561" priority="368" stopIfTrue="1">
      <formula>"esterreur(reference)"</formula>
    </cfRule>
  </conditionalFormatting>
  <conditionalFormatting sqref="K187">
    <cfRule type="expression" dxfId="560" priority="364" stopIfTrue="1">
      <formula>"esterreur(reference)"</formula>
    </cfRule>
  </conditionalFormatting>
  <conditionalFormatting sqref="K190">
    <cfRule type="expression" dxfId="559" priority="362" stopIfTrue="1">
      <formula>"esterreur(reference)"</formula>
    </cfRule>
  </conditionalFormatting>
  <conditionalFormatting sqref="J311">
    <cfRule type="expression" dxfId="558" priority="361" stopIfTrue="1">
      <formula>"esterreur(reference)"</formula>
    </cfRule>
  </conditionalFormatting>
  <conditionalFormatting sqref="L364:L375">
    <cfRule type="expression" dxfId="557" priority="355" stopIfTrue="1">
      <formula>"esterreur(reference)"</formula>
    </cfRule>
  </conditionalFormatting>
  <conditionalFormatting sqref="L377:L393">
    <cfRule type="expression" dxfId="556" priority="353" stopIfTrue="1">
      <formula>"esterreur(reference)"</formula>
    </cfRule>
  </conditionalFormatting>
  <conditionalFormatting sqref="K93">
    <cfRule type="expression" dxfId="555" priority="352" stopIfTrue="1">
      <formula>"esterreur(reference)"</formula>
    </cfRule>
  </conditionalFormatting>
  <conditionalFormatting sqref="L240">
    <cfRule type="expression" dxfId="554" priority="349" stopIfTrue="1">
      <formula>"esterreur(reference)"</formula>
    </cfRule>
  </conditionalFormatting>
  <conditionalFormatting sqref="K239">
    <cfRule type="expression" dxfId="553" priority="346" stopIfTrue="1">
      <formula>"esterreur(reference)"</formula>
    </cfRule>
  </conditionalFormatting>
  <conditionalFormatting sqref="L239">
    <cfRule type="expression" dxfId="552" priority="344" stopIfTrue="1">
      <formula>"esterreur(reference)"</formula>
    </cfRule>
  </conditionalFormatting>
  <conditionalFormatting sqref="F183">
    <cfRule type="expression" dxfId="551" priority="343" stopIfTrue="1">
      <formula>"esterreur(reference)"</formula>
    </cfRule>
  </conditionalFormatting>
  <conditionalFormatting sqref="J359">
    <cfRule type="expression" dxfId="550" priority="341" stopIfTrue="1">
      <formula>"esterreur(reference)"</formula>
    </cfRule>
  </conditionalFormatting>
  <conditionalFormatting sqref="L359">
    <cfRule type="expression" dxfId="549" priority="339" stopIfTrue="1">
      <formula>"esterreur(reference)"</formula>
    </cfRule>
  </conditionalFormatting>
  <conditionalFormatting sqref="S185">
    <cfRule type="expression" dxfId="548" priority="337" stopIfTrue="1">
      <formula>"esterreur(reference)"</formula>
    </cfRule>
  </conditionalFormatting>
  <conditionalFormatting sqref="K286">
    <cfRule type="expression" dxfId="547" priority="331" stopIfTrue="1">
      <formula>"esterreur(reference)"</formula>
    </cfRule>
  </conditionalFormatting>
  <conditionalFormatting sqref="AO408:AO413">
    <cfRule type="cellIs" dxfId="546" priority="283" operator="greaterThan">
      <formula>0</formula>
    </cfRule>
  </conditionalFormatting>
  <conditionalFormatting sqref="L71">
    <cfRule type="expression" dxfId="545" priority="282" stopIfTrue="1">
      <formula>"esterreur(reference)"</formula>
    </cfRule>
  </conditionalFormatting>
  <conditionalFormatting sqref="L210">
    <cfRule type="expression" dxfId="544" priority="276" stopIfTrue="1">
      <formula>"esterreur(reference)"</formula>
    </cfRule>
  </conditionalFormatting>
  <conditionalFormatting sqref="L122">
    <cfRule type="expression" dxfId="543" priority="280" stopIfTrue="1">
      <formula>"esterreur(reference)"</formula>
    </cfRule>
  </conditionalFormatting>
  <conditionalFormatting sqref="L266">
    <cfRule type="expression" dxfId="542" priority="274" stopIfTrue="1">
      <formula>"esterreur(reference)"</formula>
    </cfRule>
  </conditionalFormatting>
  <conditionalFormatting sqref="L135">
    <cfRule type="expression" dxfId="541" priority="278" stopIfTrue="1">
      <formula>"esterreur(reference)"</formula>
    </cfRule>
  </conditionalFormatting>
  <conditionalFormatting sqref="L330">
    <cfRule type="expression" dxfId="540" priority="272" stopIfTrue="1">
      <formula>"esterreur(reference)"</formula>
    </cfRule>
  </conditionalFormatting>
  <conditionalFormatting sqref="L75">
    <cfRule type="expression" dxfId="539" priority="270" stopIfTrue="1">
      <formula>"esterreur(reference)"</formula>
    </cfRule>
  </conditionalFormatting>
  <conditionalFormatting sqref="L60">
    <cfRule type="expression" dxfId="538" priority="268" stopIfTrue="1">
      <formula>"esterreur(reference)"</formula>
    </cfRule>
  </conditionalFormatting>
  <conditionalFormatting sqref="L59">
    <cfRule type="expression" dxfId="537" priority="269" stopIfTrue="1">
      <formula>"esterreur(reference)"</formula>
    </cfRule>
  </conditionalFormatting>
  <conditionalFormatting sqref="O25:Q26 Q18 O83:Q85 O41:Q41 O72:Q72 Q24 O13:O14 O16 O18:O24 O49:Q54 Q6:Q14 O31:P40 O42:P48 O28:Q30 O27 Q27">
    <cfRule type="expression" dxfId="536" priority="262" stopIfTrue="1">
      <formula>"esterreur(reference)"</formula>
    </cfRule>
  </conditionalFormatting>
  <conditionalFormatting sqref="P5">
    <cfRule type="expression" dxfId="535" priority="236" stopIfTrue="1">
      <formula>"esterreur(reference)"</formula>
    </cfRule>
  </conditionalFormatting>
  <conditionalFormatting sqref="Q32">
    <cfRule type="expression" dxfId="534" priority="257" stopIfTrue="1">
      <formula>"esterreur(reference)"</formula>
    </cfRule>
  </conditionalFormatting>
  <conditionalFormatting sqref="Q35">
    <cfRule type="expression" dxfId="533" priority="256" stopIfTrue="1">
      <formula>"esterreur(reference)"</formula>
    </cfRule>
  </conditionalFormatting>
  <conditionalFormatting sqref="O55:P56 O71:P71">
    <cfRule type="expression" dxfId="532" priority="263" stopIfTrue="1">
      <formula>"esterreur(reference)"</formula>
    </cfRule>
  </conditionalFormatting>
  <conditionalFormatting sqref="O61:P70">
    <cfRule type="expression" dxfId="531" priority="264" stopIfTrue="1">
      <formula>"esterreur(reference)"</formula>
    </cfRule>
  </conditionalFormatting>
  <conditionalFormatting sqref="O57:P59">
    <cfRule type="expression" dxfId="530" priority="265" stopIfTrue="1">
      <formula>"esterreur(reference)"</formula>
    </cfRule>
  </conditionalFormatting>
  <conditionalFormatting sqref="O60:P60">
    <cfRule type="expression" dxfId="529" priority="266" stopIfTrue="1">
      <formula>"esterreur(reference)"</formula>
    </cfRule>
  </conditionalFormatting>
  <conditionalFormatting sqref="Q19 Q21:Q23">
    <cfRule type="expression" dxfId="528" priority="260" stopIfTrue="1">
      <formula>"esterreur(reference)"</formula>
    </cfRule>
  </conditionalFormatting>
  <conditionalFormatting sqref="Q16:Q17">
    <cfRule type="expression" dxfId="527" priority="261" stopIfTrue="1">
      <formula>"esterreur(reference)"</formula>
    </cfRule>
  </conditionalFormatting>
  <conditionalFormatting sqref="Q20">
    <cfRule type="expression" dxfId="526" priority="259" stopIfTrue="1">
      <formula>"esterreur(reference)"</formula>
    </cfRule>
  </conditionalFormatting>
  <conditionalFormatting sqref="Q31 Q33:Q34">
    <cfRule type="expression" dxfId="525" priority="258" stopIfTrue="1">
      <formula>"esterreur(reference)"</formula>
    </cfRule>
  </conditionalFormatting>
  <conditionalFormatting sqref="Q42">
    <cfRule type="expression" dxfId="524" priority="254" stopIfTrue="1">
      <formula>"esterreur(reference)"</formula>
    </cfRule>
  </conditionalFormatting>
  <conditionalFormatting sqref="Q43">
    <cfRule type="expression" dxfId="523" priority="253" stopIfTrue="1">
      <formula>"esterreur(reference)"</formula>
    </cfRule>
  </conditionalFormatting>
  <conditionalFormatting sqref="Q44">
    <cfRule type="expression" dxfId="522" priority="252" stopIfTrue="1">
      <formula>"esterreur(reference)"</formula>
    </cfRule>
  </conditionalFormatting>
  <conditionalFormatting sqref="Q45:Q48">
    <cfRule type="expression" dxfId="521" priority="251" stopIfTrue="1">
      <formula>"esterreur(reference)"</formula>
    </cfRule>
  </conditionalFormatting>
  <conditionalFormatting sqref="Q55">
    <cfRule type="expression" dxfId="520" priority="250" stopIfTrue="1">
      <formula>"esterreur(reference)"</formula>
    </cfRule>
  </conditionalFormatting>
  <conditionalFormatting sqref="Q56">
    <cfRule type="expression" dxfId="519" priority="249" stopIfTrue="1">
      <formula>"esterreur(reference)"</formula>
    </cfRule>
  </conditionalFormatting>
  <conditionalFormatting sqref="Q58">
    <cfRule type="expression" dxfId="518" priority="248" stopIfTrue="1">
      <formula>"esterreur(reference)"</formula>
    </cfRule>
  </conditionalFormatting>
  <conditionalFormatting sqref="Q61">
    <cfRule type="expression" dxfId="517" priority="247" stopIfTrue="1">
      <formula>"esterreur(reference)"</formula>
    </cfRule>
  </conditionalFormatting>
  <conditionalFormatting sqref="Q63">
    <cfRule type="expression" dxfId="516" priority="246" stopIfTrue="1">
      <formula>"esterreur(reference)"</formula>
    </cfRule>
  </conditionalFormatting>
  <conditionalFormatting sqref="Q62">
    <cfRule type="expression" dxfId="515" priority="245" stopIfTrue="1">
      <formula>"esterreur(reference)"</formula>
    </cfRule>
  </conditionalFormatting>
  <conditionalFormatting sqref="Q64">
    <cfRule type="expression" dxfId="514" priority="244" stopIfTrue="1">
      <formula>"esterreur(reference)"</formula>
    </cfRule>
  </conditionalFormatting>
  <conditionalFormatting sqref="Q65">
    <cfRule type="expression" dxfId="513" priority="243" stopIfTrue="1">
      <formula>"esterreur(reference)"</formula>
    </cfRule>
  </conditionalFormatting>
  <conditionalFormatting sqref="Q66:Q69">
    <cfRule type="expression" dxfId="512" priority="242" stopIfTrue="1">
      <formula>"esterreur(reference)"</formula>
    </cfRule>
  </conditionalFormatting>
  <conditionalFormatting sqref="Q70">
    <cfRule type="expression" dxfId="511" priority="241" stopIfTrue="1">
      <formula>"esterreur(reference)"</formula>
    </cfRule>
  </conditionalFormatting>
  <conditionalFormatting sqref="Q75:Q82">
    <cfRule type="expression" dxfId="510" priority="240" stopIfTrue="1">
      <formula>"esterreur(reference)"</formula>
    </cfRule>
  </conditionalFormatting>
  <conditionalFormatting sqref="Q57">
    <cfRule type="expression" dxfId="509" priority="237" stopIfTrue="1">
      <formula>"esterreur(reference)"</formula>
    </cfRule>
  </conditionalFormatting>
  <conditionalFormatting sqref="Q5">
    <cfRule type="expression" dxfId="508" priority="235" stopIfTrue="1">
      <formula>"esterreur(reference)"</formula>
    </cfRule>
  </conditionalFormatting>
  <conditionalFormatting sqref="Q71">
    <cfRule type="expression" dxfId="507" priority="234" stopIfTrue="1">
      <formula>"esterreur(reference)"</formula>
    </cfRule>
  </conditionalFormatting>
  <conditionalFormatting sqref="Q60">
    <cfRule type="expression" dxfId="506" priority="231" stopIfTrue="1">
      <formula>"esterreur(reference)"</formula>
    </cfRule>
  </conditionalFormatting>
  <conditionalFormatting sqref="P98">
    <cfRule type="expression" dxfId="505" priority="230" stopIfTrue="1">
      <formula>"esterreur(reference)"</formula>
    </cfRule>
  </conditionalFormatting>
  <conditionalFormatting sqref="Q59">
    <cfRule type="expression" dxfId="504" priority="232" stopIfTrue="1">
      <formula>"esterreur(reference)"</formula>
    </cfRule>
  </conditionalFormatting>
  <conditionalFormatting sqref="O163:Q163 O164:P164 O121:Q121 O152:Q152 O96:Q97 O100:Q100 P94:P95 O104:Q110 P99 O134:Q134 O101:P103 O135:P136 O155:P156 O111:P120">
    <cfRule type="expression" dxfId="503" priority="226" stopIfTrue="1">
      <formula>"esterreur(reference)"</formula>
    </cfRule>
  </conditionalFormatting>
  <conditionalFormatting sqref="O141:P147">
    <cfRule type="expression" dxfId="502" priority="227" stopIfTrue="1">
      <formula>"esterreur(reference)"</formula>
    </cfRule>
  </conditionalFormatting>
  <conditionalFormatting sqref="O137:P139">
    <cfRule type="expression" dxfId="501" priority="228" stopIfTrue="1">
      <formula>"esterreur(reference)"</formula>
    </cfRule>
  </conditionalFormatting>
  <conditionalFormatting sqref="O140:P140">
    <cfRule type="expression" dxfId="500" priority="229" stopIfTrue="1">
      <formula>"esterreur(reference)"</formula>
    </cfRule>
  </conditionalFormatting>
  <conditionalFormatting sqref="Q94:Q95">
    <cfRule type="expression" dxfId="499" priority="225" stopIfTrue="1">
      <formula>"esterreur(reference)"</formula>
    </cfRule>
  </conditionalFormatting>
  <conditionalFormatting sqref="Q98">
    <cfRule type="expression" dxfId="498" priority="224" stopIfTrue="1">
      <formula>"esterreur(reference)"</formula>
    </cfRule>
  </conditionalFormatting>
  <conditionalFormatting sqref="Q99">
    <cfRule type="expression" dxfId="497" priority="223" stopIfTrue="1">
      <formula>"esterreur(reference)"</formula>
    </cfRule>
  </conditionalFormatting>
  <conditionalFormatting sqref="Q101">
    <cfRule type="expression" dxfId="496" priority="222" stopIfTrue="1">
      <formula>"esterreur(reference)"</formula>
    </cfRule>
  </conditionalFormatting>
  <conditionalFormatting sqref="Q102">
    <cfRule type="expression" dxfId="495" priority="221" stopIfTrue="1">
      <formula>"esterreur(reference)"</formula>
    </cfRule>
  </conditionalFormatting>
  <conditionalFormatting sqref="Q103">
    <cfRule type="expression" dxfId="494" priority="220" stopIfTrue="1">
      <formula>"esterreur(reference)"</formula>
    </cfRule>
  </conditionalFormatting>
  <conditionalFormatting sqref="Q111">
    <cfRule type="expression" dxfId="493" priority="219" stopIfTrue="1">
      <formula>"esterreur(reference)"</formula>
    </cfRule>
  </conditionalFormatting>
  <conditionalFormatting sqref="Q112">
    <cfRule type="expression" dxfId="492" priority="218" stopIfTrue="1">
      <formula>"esterreur(reference)"</formula>
    </cfRule>
  </conditionalFormatting>
  <conditionalFormatting sqref="Q114">
    <cfRule type="expression" dxfId="491" priority="217" stopIfTrue="1">
      <formula>"esterreur(reference)"</formula>
    </cfRule>
  </conditionalFormatting>
  <conditionalFormatting sqref="Q116:Q119">
    <cfRule type="expression" dxfId="490" priority="216" stopIfTrue="1">
      <formula>"esterreur(reference)"</formula>
    </cfRule>
  </conditionalFormatting>
  <conditionalFormatting sqref="Q120">
    <cfRule type="expression" dxfId="489" priority="215" stopIfTrue="1">
      <formula>"esterreur(reference)"</formula>
    </cfRule>
  </conditionalFormatting>
  <conditionalFormatting sqref="Q130">
    <cfRule type="expression" dxfId="488" priority="210" stopIfTrue="1">
      <formula>"esterreur(reference)"</formula>
    </cfRule>
  </conditionalFormatting>
  <conditionalFormatting sqref="Q124">
    <cfRule type="expression" dxfId="487" priority="214" stopIfTrue="1">
      <formula>"esterreur(reference)"</formula>
    </cfRule>
  </conditionalFormatting>
  <conditionalFormatting sqref="Q123">
    <cfRule type="expression" dxfId="486" priority="212" stopIfTrue="1">
      <formula>"esterreur(reference)"</formula>
    </cfRule>
  </conditionalFormatting>
  <conditionalFormatting sqref="Q139">
    <cfRule type="expression" dxfId="485" priority="203" stopIfTrue="1">
      <formula>"esterreur(reference)"</formula>
    </cfRule>
  </conditionalFormatting>
  <conditionalFormatting sqref="Q131">
    <cfRule type="expression" dxfId="484" priority="209" stopIfTrue="1">
      <formula>"esterreur(reference)"</formula>
    </cfRule>
  </conditionalFormatting>
  <conditionalFormatting sqref="Q132">
    <cfRule type="expression" dxfId="483" priority="208" stopIfTrue="1">
      <formula>"esterreur(reference)"</formula>
    </cfRule>
  </conditionalFormatting>
  <conditionalFormatting sqref="Q133">
    <cfRule type="expression" dxfId="482" priority="207" stopIfTrue="1">
      <formula>"esterreur(reference)"</formula>
    </cfRule>
  </conditionalFormatting>
  <conditionalFormatting sqref="Q141">
    <cfRule type="expression" dxfId="481" priority="201" stopIfTrue="1">
      <formula>"esterreur(reference)"</formula>
    </cfRule>
  </conditionalFormatting>
  <conditionalFormatting sqref="Q136">
    <cfRule type="expression" dxfId="480" priority="206" stopIfTrue="1">
      <formula>"esterreur(reference)"</formula>
    </cfRule>
  </conditionalFormatting>
  <conditionalFormatting sqref="Q137">
    <cfRule type="expression" dxfId="479" priority="205" stopIfTrue="1">
      <formula>"esterreur(reference)"</formula>
    </cfRule>
  </conditionalFormatting>
  <conditionalFormatting sqref="Q138">
    <cfRule type="expression" dxfId="478" priority="204" stopIfTrue="1">
      <formula>"esterreur(reference)"</formula>
    </cfRule>
  </conditionalFormatting>
  <conditionalFormatting sqref="Q143">
    <cfRule type="expression" dxfId="477" priority="199" stopIfTrue="1">
      <formula>"esterreur(reference)"</formula>
    </cfRule>
  </conditionalFormatting>
  <conditionalFormatting sqref="Q140">
    <cfRule type="expression" dxfId="476" priority="202" stopIfTrue="1">
      <formula>"esterreur(reference)"</formula>
    </cfRule>
  </conditionalFormatting>
  <conditionalFormatting sqref="Q142">
    <cfRule type="expression" dxfId="475" priority="200" stopIfTrue="1">
      <formula>"esterreur(reference)"</formula>
    </cfRule>
  </conditionalFormatting>
  <conditionalFormatting sqref="Q144">
    <cfRule type="expression" dxfId="474" priority="198" stopIfTrue="1">
      <formula>"esterreur(reference)"</formula>
    </cfRule>
  </conditionalFormatting>
  <conditionalFormatting sqref="Q145">
    <cfRule type="expression" dxfId="473" priority="197" stopIfTrue="1">
      <formula>"esterreur(reference)"</formula>
    </cfRule>
  </conditionalFormatting>
  <conditionalFormatting sqref="Q146">
    <cfRule type="expression" dxfId="472" priority="196" stopIfTrue="1">
      <formula>"esterreur(reference)"</formula>
    </cfRule>
  </conditionalFormatting>
  <conditionalFormatting sqref="Q147">
    <cfRule type="expression" dxfId="471" priority="195" stopIfTrue="1">
      <formula>"esterreur(reference)"</formula>
    </cfRule>
  </conditionalFormatting>
  <conditionalFormatting sqref="Q113">
    <cfRule type="expression" dxfId="470" priority="188" stopIfTrue="1">
      <formula>"esterreur(reference)"</formula>
    </cfRule>
  </conditionalFormatting>
  <conditionalFormatting sqref="Q155:Q161">
    <cfRule type="expression" dxfId="469" priority="192" stopIfTrue="1">
      <formula>"esterreur(reference)"</formula>
    </cfRule>
  </conditionalFormatting>
  <conditionalFormatting sqref="Q93">
    <cfRule type="expression" dxfId="468" priority="187" stopIfTrue="1">
      <formula>"esterreur(reference)"</formula>
    </cfRule>
  </conditionalFormatting>
  <conditionalFormatting sqref="Q115">
    <cfRule type="expression" dxfId="467" priority="189" stopIfTrue="1">
      <formula>"esterreur(reference)"</formula>
    </cfRule>
  </conditionalFormatting>
  <conditionalFormatting sqref="P93">
    <cfRule type="expression" dxfId="466" priority="186" stopIfTrue="1">
      <formula>"esterreur(reference)"</formula>
    </cfRule>
  </conditionalFormatting>
  <conditionalFormatting sqref="Q122">
    <cfRule type="expression" dxfId="465" priority="185" stopIfTrue="1">
      <formula>"esterreur(reference)"</formula>
    </cfRule>
  </conditionalFormatting>
  <conditionalFormatting sqref="Q135">
    <cfRule type="expression" dxfId="464" priority="184"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0" stopIfTrue="1">
      <formula>"esterreur(reference)"</formula>
    </cfRule>
  </conditionalFormatting>
  <conditionalFormatting sqref="O219:P224">
    <cfRule type="expression" dxfId="462" priority="151" stopIfTrue="1">
      <formula>"esterreur(reference)"</formula>
    </cfRule>
  </conditionalFormatting>
  <conditionalFormatting sqref="O196:Q196">
    <cfRule type="expression" dxfId="461" priority="152" stopIfTrue="1">
      <formula>"esterreur(reference)"</formula>
    </cfRule>
  </conditionalFormatting>
  <conditionalFormatting sqref="Q207">
    <cfRule type="expression" dxfId="460" priority="135" stopIfTrue="1">
      <formula>"esterreur(reference)"</formula>
    </cfRule>
  </conditionalFormatting>
  <conditionalFormatting sqref="Q227">
    <cfRule type="expression" dxfId="459" priority="131" stopIfTrue="1">
      <formula>"esterreur(reference)"</formula>
    </cfRule>
  </conditionalFormatting>
  <conditionalFormatting sqref="Q171">
    <cfRule type="expression" dxfId="458" priority="149" stopIfTrue="1">
      <formula>"esterreur(reference)"</formula>
    </cfRule>
  </conditionalFormatting>
  <conditionalFormatting sqref="Q174">
    <cfRule type="expression" dxfId="457" priority="148" stopIfTrue="1">
      <formula>"esterreur(reference)"</formula>
    </cfRule>
  </conditionalFormatting>
  <conditionalFormatting sqref="Q177">
    <cfRule type="expression" dxfId="456" priority="147" stopIfTrue="1">
      <formula>"esterreur(reference)"</formula>
    </cfRule>
  </conditionalFormatting>
  <conditionalFormatting sqref="Q183">
    <cfRule type="expression" dxfId="455" priority="146" stopIfTrue="1">
      <formula>"esterreur(reference)"</formula>
    </cfRule>
  </conditionalFormatting>
  <conditionalFormatting sqref="Q187">
    <cfRule type="expression" dxfId="454" priority="145" stopIfTrue="1">
      <formula>"esterreur(reference)"</formula>
    </cfRule>
  </conditionalFormatting>
  <conditionalFormatting sqref="Q197">
    <cfRule type="expression" dxfId="453" priority="144" stopIfTrue="1">
      <formula>"esterreur(reference)"</formula>
    </cfRule>
  </conditionalFormatting>
  <conditionalFormatting sqref="Q199">
    <cfRule type="expression" dxfId="452" priority="143" stopIfTrue="1">
      <formula>"esterreur(reference)"</formula>
    </cfRule>
  </conditionalFormatting>
  <conditionalFormatting sqref="Q198">
    <cfRule type="expression" dxfId="451" priority="142" stopIfTrue="1">
      <formula>"esterreur(reference)"</formula>
    </cfRule>
  </conditionalFormatting>
  <conditionalFormatting sqref="Q200">
    <cfRule type="expression" dxfId="450" priority="141" stopIfTrue="1">
      <formula>"esterreur(reference)"</formula>
    </cfRule>
  </conditionalFormatting>
  <conditionalFormatting sqref="Q201">
    <cfRule type="expression" dxfId="449" priority="140" stopIfTrue="1">
      <formula>"esterreur(reference)"</formula>
    </cfRule>
  </conditionalFormatting>
  <conditionalFormatting sqref="Q202:Q204">
    <cfRule type="expression" dxfId="448" priority="139" stopIfTrue="1">
      <formula>"esterreur(reference)"</formula>
    </cfRule>
  </conditionalFormatting>
  <conditionalFormatting sqref="Q206">
    <cfRule type="expression" dxfId="447" priority="136" stopIfTrue="1">
      <formula>"esterreur(reference)"</formula>
    </cfRule>
  </conditionalFormatting>
  <conditionalFormatting sqref="Q205">
    <cfRule type="expression" dxfId="446" priority="137" stopIfTrue="1">
      <formula>"esterreur(reference)"</formula>
    </cfRule>
  </conditionalFormatting>
  <conditionalFormatting sqref="Q208">
    <cfRule type="expression" dxfId="445" priority="134" stopIfTrue="1">
      <formula>"esterreur(reference)"</formula>
    </cfRule>
  </conditionalFormatting>
  <conditionalFormatting sqref="Q211:Q224">
    <cfRule type="expression" dxfId="444" priority="133" stopIfTrue="1">
      <formula>"esterreur(reference)"</formula>
    </cfRule>
  </conditionalFormatting>
  <conditionalFormatting sqref="Q225:Q226">
    <cfRule type="expression" dxfId="443" priority="132" stopIfTrue="1">
      <formula>"esterreur(reference)"</formula>
    </cfRule>
  </conditionalFormatting>
  <conditionalFormatting sqref="Q180">
    <cfRule type="expression" dxfId="442" priority="130" stopIfTrue="1">
      <formula>"esterreur(reference)"</formula>
    </cfRule>
  </conditionalFormatting>
  <conditionalFormatting sqref="P182">
    <cfRule type="expression" dxfId="441" priority="129" stopIfTrue="1">
      <formula>"esterreur(reference)"</formula>
    </cfRule>
  </conditionalFormatting>
  <conditionalFormatting sqref="P171">
    <cfRule type="expression" dxfId="440" priority="128" stopIfTrue="1">
      <formula>"esterreur(reference)"</formula>
    </cfRule>
  </conditionalFormatting>
  <conditionalFormatting sqref="P174">
    <cfRule type="expression" dxfId="439" priority="127" stopIfTrue="1">
      <formula>"esterreur(reference)"</formula>
    </cfRule>
  </conditionalFormatting>
  <conditionalFormatting sqref="P177">
    <cfRule type="expression" dxfId="438" priority="126" stopIfTrue="1">
      <formula>"esterreur(reference)"</formula>
    </cfRule>
  </conditionalFormatting>
  <conditionalFormatting sqref="P180">
    <cfRule type="expression" dxfId="437" priority="125" stopIfTrue="1">
      <formula>"esterreur(reference)"</formula>
    </cfRule>
  </conditionalFormatting>
  <conditionalFormatting sqref="P187">
    <cfRule type="expression" dxfId="436" priority="124" stopIfTrue="1">
      <formula>"esterreur(reference)"</formula>
    </cfRule>
  </conditionalFormatting>
  <conditionalFormatting sqref="P190">
    <cfRule type="expression" dxfId="435" priority="123" stopIfTrue="1">
      <formula>"esterreur(reference)"</formula>
    </cfRule>
  </conditionalFormatting>
  <conditionalFormatting sqref="Q210">
    <cfRule type="expression" dxfId="434" priority="122" stopIfTrue="1">
      <formula>"esterreur(reference)"</formula>
    </cfRule>
  </conditionalFormatting>
  <conditionalFormatting sqref="O287:Q287 O288:P288 O242:Q242 O251:Q252 O284:Q284 Q275:Q283 O253:P274">
    <cfRule type="expression" dxfId="433" priority="119" stopIfTrue="1">
      <formula>"esterreur(reference)"</formula>
    </cfRule>
  </conditionalFormatting>
  <conditionalFormatting sqref="O275:P280">
    <cfRule type="expression" dxfId="432" priority="120" stopIfTrue="1">
      <formula>"esterreur(reference)"</formula>
    </cfRule>
  </conditionalFormatting>
  <conditionalFormatting sqref="O281:P283">
    <cfRule type="expression" dxfId="431" priority="121" stopIfTrue="1">
      <formula>"esterreur(reference)"</formula>
    </cfRule>
  </conditionalFormatting>
  <conditionalFormatting sqref="Q271">
    <cfRule type="expression" dxfId="430" priority="101" stopIfTrue="1">
      <formula>"esterreur(reference)"</formula>
    </cfRule>
  </conditionalFormatting>
  <conditionalFormatting sqref="Q274">
    <cfRule type="expression" dxfId="429" priority="99" stopIfTrue="1">
      <formula>"esterreur(reference)"</formula>
    </cfRule>
  </conditionalFormatting>
  <conditionalFormatting sqref="Q243">
    <cfRule type="expression" dxfId="428" priority="118" stopIfTrue="1">
      <formula>"esterreur(reference)"</formula>
    </cfRule>
  </conditionalFormatting>
  <conditionalFormatting sqref="Q246">
    <cfRule type="expression" dxfId="427" priority="117" stopIfTrue="1">
      <formula>"esterreur(reference)"</formula>
    </cfRule>
  </conditionalFormatting>
  <conditionalFormatting sqref="Q253">
    <cfRule type="expression" dxfId="426" priority="116" stopIfTrue="1">
      <formula>"esterreur(reference)"</formula>
    </cfRule>
  </conditionalFormatting>
  <conditionalFormatting sqref="Q254">
    <cfRule type="expression" dxfId="425" priority="115" stopIfTrue="1">
      <formula>"esterreur(reference)"</formula>
    </cfRule>
  </conditionalFormatting>
  <conditionalFormatting sqref="Q255">
    <cfRule type="expression" dxfId="424" priority="114" stopIfTrue="1">
      <formula>"esterreur(reference)"</formula>
    </cfRule>
  </conditionalFormatting>
  <conditionalFormatting sqref="Q256">
    <cfRule type="expression" dxfId="423" priority="113" stopIfTrue="1">
      <formula>"esterreur(reference)"</formula>
    </cfRule>
  </conditionalFormatting>
  <conditionalFormatting sqref="Q257">
    <cfRule type="expression" dxfId="422" priority="112" stopIfTrue="1">
      <formula>"esterreur(reference)"</formula>
    </cfRule>
  </conditionalFormatting>
  <conditionalFormatting sqref="Q258">
    <cfRule type="expression" dxfId="421" priority="111" stopIfTrue="1">
      <formula>"esterreur(reference)"</formula>
    </cfRule>
  </conditionalFormatting>
  <conditionalFormatting sqref="Q259">
    <cfRule type="expression" dxfId="420" priority="110" stopIfTrue="1">
      <formula>"esterreur(reference)"</formula>
    </cfRule>
  </conditionalFormatting>
  <conditionalFormatting sqref="Q260">
    <cfRule type="expression" dxfId="419" priority="109" stopIfTrue="1">
      <formula>"esterreur(reference)"</formula>
    </cfRule>
  </conditionalFormatting>
  <conditionalFormatting sqref="Q261">
    <cfRule type="expression" dxfId="418" priority="108" stopIfTrue="1">
      <formula>"esterreur(reference)"</formula>
    </cfRule>
  </conditionalFormatting>
  <conditionalFormatting sqref="Q262">
    <cfRule type="expression" dxfId="417" priority="107" stopIfTrue="1">
      <formula>"esterreur(reference)"</formula>
    </cfRule>
  </conditionalFormatting>
  <conditionalFormatting sqref="Q263:Q264">
    <cfRule type="expression" dxfId="416" priority="106" stopIfTrue="1">
      <formula>"esterreur(reference)"</formula>
    </cfRule>
  </conditionalFormatting>
  <conditionalFormatting sqref="Q268">
    <cfRule type="expression" dxfId="415" priority="104" stopIfTrue="1">
      <formula>"esterreur(reference)"</formula>
    </cfRule>
  </conditionalFormatting>
  <conditionalFormatting sqref="Q267">
    <cfRule type="expression" dxfId="414" priority="105" stopIfTrue="1">
      <formula>"esterreur(reference)"</formula>
    </cfRule>
  </conditionalFormatting>
  <conditionalFormatting sqref="Q269">
    <cfRule type="expression" dxfId="413" priority="103" stopIfTrue="1">
      <formula>"esterreur(reference)"</formula>
    </cfRule>
  </conditionalFormatting>
  <conditionalFormatting sqref="Q270">
    <cfRule type="expression" dxfId="412" priority="102" stopIfTrue="1">
      <formula>"esterreur(reference)"</formula>
    </cfRule>
  </conditionalFormatting>
  <conditionalFormatting sqref="Q272:Q273">
    <cfRule type="expression" dxfId="411" priority="100" stopIfTrue="1">
      <formula>"esterreur(reference)"</formula>
    </cfRule>
  </conditionalFormatting>
  <conditionalFormatting sqref="P240">
    <cfRule type="expression" dxfId="410" priority="98" stopIfTrue="1">
      <formula>"esterreur(reference)"</formula>
    </cfRule>
  </conditionalFormatting>
  <conditionalFormatting sqref="P243">
    <cfRule type="expression" dxfId="409" priority="97" stopIfTrue="1">
      <formula>"esterreur(reference)"</formula>
    </cfRule>
  </conditionalFormatting>
  <conditionalFormatting sqref="P246">
    <cfRule type="expression" dxfId="408" priority="96" stopIfTrue="1">
      <formula>"esterreur(reference)"</formula>
    </cfRule>
  </conditionalFormatting>
  <conditionalFormatting sqref="Q240">
    <cfRule type="expression" dxfId="407" priority="95" stopIfTrue="1">
      <formula>"esterreur(reference)"</formula>
    </cfRule>
  </conditionalFormatting>
  <conditionalFormatting sqref="P286">
    <cfRule type="expression" dxfId="406" priority="94" stopIfTrue="1">
      <formula>"esterreur(reference)"</formula>
    </cfRule>
  </conditionalFormatting>
  <conditionalFormatting sqref="Q266">
    <cfRule type="expression" dxfId="405" priority="93" stopIfTrue="1">
      <formula>"esterreur(reference)"</formula>
    </cfRule>
  </conditionalFormatting>
  <conditionalFormatting sqref="O308:Q310 O303:Q305 O351:Q351 O352:P352 O348:Q348 O312:Q315 P306:P307 P311 O294:P302 Q319:Q324 O317:P347">
    <cfRule type="expression" dxfId="404" priority="91" stopIfTrue="1">
      <formula>"esterreur(reference)"</formula>
    </cfRule>
  </conditionalFormatting>
  <conditionalFormatting sqref="O316:Q316">
    <cfRule type="expression" dxfId="403" priority="92" stopIfTrue="1">
      <formula>"esterreur(reference)"</formula>
    </cfRule>
  </conditionalFormatting>
  <conditionalFormatting sqref="Q331:Q347">
    <cfRule type="expression" dxfId="402" priority="78" stopIfTrue="1">
      <formula>"esterreur(reference)"</formula>
    </cfRule>
  </conditionalFormatting>
  <conditionalFormatting sqref="Q325">
    <cfRule type="expression" dxfId="401" priority="82" stopIfTrue="1">
      <formula>"esterreur(reference)"</formula>
    </cfRule>
  </conditionalFormatting>
  <conditionalFormatting sqref="Q326">
    <cfRule type="expression" dxfId="400" priority="81" stopIfTrue="1">
      <formula>"esterreur(reference)"</formula>
    </cfRule>
  </conditionalFormatting>
  <conditionalFormatting sqref="Q327">
    <cfRule type="expression" dxfId="399" priority="80" stopIfTrue="1">
      <formula>"esterreur(reference)"</formula>
    </cfRule>
  </conditionalFormatting>
  <conditionalFormatting sqref="Q328">
    <cfRule type="expression" dxfId="398" priority="79" stopIfTrue="1">
      <formula>"esterreur(reference)"</formula>
    </cfRule>
  </conditionalFormatting>
  <conditionalFormatting sqref="Q311">
    <cfRule type="expression" dxfId="397" priority="85" stopIfTrue="1">
      <formula>"esterreur(reference)"</formula>
    </cfRule>
  </conditionalFormatting>
  <conditionalFormatting sqref="Q317">
    <cfRule type="expression" dxfId="396" priority="84" stopIfTrue="1">
      <formula>"esterreur(reference)"</formula>
    </cfRule>
  </conditionalFormatting>
  <conditionalFormatting sqref="Q318">
    <cfRule type="expression" dxfId="395" priority="83" stopIfTrue="1">
      <formula>"esterreur(reference)"</formula>
    </cfRule>
  </conditionalFormatting>
  <conditionalFormatting sqref="O306:O307">
    <cfRule type="expression" dxfId="394" priority="77" stopIfTrue="1">
      <formula>"esterreur(reference)"</formula>
    </cfRule>
  </conditionalFormatting>
  <conditionalFormatting sqref="O311">
    <cfRule type="expression" dxfId="393" priority="76" stopIfTrue="1">
      <formula>"esterreur(reference)"</formula>
    </cfRule>
  </conditionalFormatting>
  <conditionalFormatting sqref="Q330">
    <cfRule type="expression" dxfId="392" priority="75" stopIfTrue="1">
      <formula>"esterreur(reference)"</formula>
    </cfRule>
  </conditionalFormatting>
  <conditionalFormatting sqref="O363:Q363 O364:P375">
    <cfRule type="expression" dxfId="391" priority="69" stopIfTrue="1">
      <formula>"esterreur(reference)"</formula>
    </cfRule>
  </conditionalFormatting>
  <conditionalFormatting sqref="O358:Q358">
    <cfRule type="expression" dxfId="390" priority="70" stopIfTrue="1">
      <formula>"esterreur(reference)"</formula>
    </cfRule>
  </conditionalFormatting>
  <conditionalFormatting sqref="O376:Q376 O377:P392">
    <cfRule type="expression" dxfId="389" priority="71" stopIfTrue="1">
      <formula>"esterreur(reference)"</formula>
    </cfRule>
  </conditionalFormatting>
  <conditionalFormatting sqref="O395:Q398 O393:P393">
    <cfRule type="expression" dxfId="388" priority="72" stopIfTrue="1">
      <formula>"esterreur(reference)"</formula>
    </cfRule>
  </conditionalFormatting>
  <conditionalFormatting sqref="O360:Q362 P359">
    <cfRule type="expression" dxfId="387" priority="73" stopIfTrue="1">
      <formula>"esterreur(reference)"</formula>
    </cfRule>
  </conditionalFormatting>
  <conditionalFormatting sqref="P394">
    <cfRule type="expression" dxfId="386" priority="74" stopIfTrue="1">
      <formula>"esterreur(reference)"</formula>
    </cfRule>
  </conditionalFormatting>
  <conditionalFormatting sqref="Q364:Q375">
    <cfRule type="expression" dxfId="385" priority="68" stopIfTrue="1">
      <formula>"esterreur(reference)"</formula>
    </cfRule>
  </conditionalFormatting>
  <conditionalFormatting sqref="Q377:Q393">
    <cfRule type="expression" dxfId="384" priority="67" stopIfTrue="1">
      <formula>"esterreur(reference)"</formula>
    </cfRule>
  </conditionalFormatting>
  <conditionalFormatting sqref="O359">
    <cfRule type="expression" dxfId="383" priority="66" stopIfTrue="1">
      <formula>"esterreur(reference)"</formula>
    </cfRule>
  </conditionalFormatting>
  <conditionalFormatting sqref="Q359">
    <cfRule type="expression" dxfId="382" priority="65" stopIfTrue="1">
      <formula>"esterreur(reference)"</formula>
    </cfRule>
  </conditionalFormatting>
  <conditionalFormatting sqref="Q36:Q40">
    <cfRule type="expression" dxfId="381" priority="64" stopIfTrue="1">
      <formula>"esterreur(reference)"</formula>
    </cfRule>
  </conditionalFormatting>
  <conditionalFormatting sqref="L68">
    <cfRule type="expression" dxfId="380" priority="63" stopIfTrue="1">
      <formula>"esterreur(reference)"</formula>
    </cfRule>
  </conditionalFormatting>
  <conditionalFormatting sqref="Q149:Q151">
    <cfRule type="expression" dxfId="379" priority="54" stopIfTrue="1">
      <formula>"esterreur(reference)"</formula>
    </cfRule>
  </conditionalFormatting>
  <conditionalFormatting sqref="H148 J148:K148">
    <cfRule type="expression" dxfId="378" priority="61" stopIfTrue="1">
      <formula>"esterreur(reference)"</formula>
    </cfRule>
  </conditionalFormatting>
  <conditionalFormatting sqref="L148">
    <cfRule type="expression" dxfId="377" priority="60" stopIfTrue="1">
      <formula>"esterreur(reference)"</formula>
    </cfRule>
  </conditionalFormatting>
  <conditionalFormatting sqref="O148:P148">
    <cfRule type="expression" dxfId="376" priority="59" stopIfTrue="1">
      <formula>"esterreur(reference)"</formula>
    </cfRule>
  </conditionalFormatting>
  <conditionalFormatting sqref="Q148">
    <cfRule type="expression" dxfId="375" priority="58" stopIfTrue="1">
      <formula>"esterreur(reference)"</formula>
    </cfRule>
  </conditionalFormatting>
  <conditionalFormatting sqref="H149:H151 J149:K151">
    <cfRule type="expression" dxfId="374" priority="57" stopIfTrue="1">
      <formula>"esterreur(reference)"</formula>
    </cfRule>
  </conditionalFormatting>
  <conditionalFormatting sqref="L149:L151">
    <cfRule type="expression" dxfId="373" priority="56" stopIfTrue="1">
      <formula>"esterreur(reference)"</formula>
    </cfRule>
  </conditionalFormatting>
  <conditionalFormatting sqref="O149:P151">
    <cfRule type="expression" dxfId="372" priority="55" stopIfTrue="1">
      <formula>"esterreur(reference)"</formula>
    </cfRule>
  </conditionalFormatting>
  <conditionalFormatting sqref="L158:L161">
    <cfRule type="expression" dxfId="371" priority="53" stopIfTrue="1">
      <formula>"esterreur(reference)"</formula>
    </cfRule>
  </conditionalFormatting>
  <conditionalFormatting sqref="AG414:AI417">
    <cfRule type="cellIs" dxfId="370" priority="51" operator="greaterThan">
      <formula>0</formula>
    </cfRule>
  </conditionalFormatting>
  <conditionalFormatting sqref="AO414:AO417">
    <cfRule type="cellIs" dxfId="369" priority="50" operator="greaterThan">
      <formula>0</formula>
    </cfRule>
  </conditionalFormatting>
  <conditionalFormatting sqref="G111:G112">
    <cfRule type="expression" dxfId="368" priority="35" stopIfTrue="1">
      <formula>"esterreur(reference)"</formula>
    </cfRule>
  </conditionalFormatting>
  <conditionalFormatting sqref="AH424:AH426">
    <cfRule type="cellIs" dxfId="367" priority="34" operator="greaterThan">
      <formula>0</formula>
    </cfRule>
  </conditionalFormatting>
  <conditionalFormatting sqref="AI431">
    <cfRule type="cellIs" dxfId="366" priority="33" operator="greaterThan">
      <formula>0</formula>
    </cfRule>
  </conditionalFormatting>
  <conditionalFormatting sqref="AH431">
    <cfRule type="cellIs" dxfId="365" priority="32" operator="greaterThan">
      <formula>0</formula>
    </cfRule>
  </conditionalFormatting>
  <conditionalFormatting sqref="AI448:AI450">
    <cfRule type="cellIs" dxfId="364" priority="31" operator="greaterThan">
      <formula>0</formula>
    </cfRule>
  </conditionalFormatting>
  <conditionalFormatting sqref="AH448:AH450">
    <cfRule type="cellIs" dxfId="363" priority="30" operator="greaterThan">
      <formula>0</formula>
    </cfRule>
  </conditionalFormatting>
  <conditionalFormatting sqref="AI462:AI464">
    <cfRule type="cellIs" dxfId="362" priority="29" operator="greaterThan">
      <formula>0</formula>
    </cfRule>
  </conditionalFormatting>
  <conditionalFormatting sqref="AH462:AH464">
    <cfRule type="cellIs" dxfId="361" priority="28" operator="greaterThan">
      <formula>0</formula>
    </cfRule>
  </conditionalFormatting>
  <conditionalFormatting sqref="AI476:AI478">
    <cfRule type="cellIs" dxfId="360" priority="27" operator="greaterThan">
      <formula>0</formula>
    </cfRule>
  </conditionalFormatting>
  <conditionalFormatting sqref="AH476:AH478">
    <cfRule type="cellIs" dxfId="359" priority="26" operator="greaterThan">
      <formula>0</formula>
    </cfRule>
  </conditionalFormatting>
  <conditionalFormatting sqref="AI494:AI496">
    <cfRule type="cellIs" dxfId="358" priority="25" operator="greaterThan">
      <formula>0</formula>
    </cfRule>
  </conditionalFormatting>
  <conditionalFormatting sqref="AH494:AH496">
    <cfRule type="cellIs" dxfId="357" priority="24" operator="greaterThan">
      <formula>0</formula>
    </cfRule>
  </conditionalFormatting>
  <conditionalFormatting sqref="H83:H85 H72 H25:H26 H28:H54">
    <cfRule type="expression" dxfId="356" priority="17" stopIfTrue="1">
      <formula>"esterreur(reference)"</formula>
    </cfRule>
  </conditionalFormatting>
  <conditionalFormatting sqref="H55:H56 H71">
    <cfRule type="expression" dxfId="355" priority="18" stopIfTrue="1">
      <formula>"esterreur(reference)"</formula>
    </cfRule>
  </conditionalFormatting>
  <conditionalFormatting sqref="H61:H70">
    <cfRule type="expression" dxfId="354" priority="19" stopIfTrue="1">
      <formula>"esterreur(reference)"</formula>
    </cfRule>
  </conditionalFormatting>
  <conditionalFormatting sqref="H57:H59">
    <cfRule type="expression" dxfId="353" priority="20" stopIfTrue="1">
      <formula>"esterreur(reference)"</formula>
    </cfRule>
  </conditionalFormatting>
  <conditionalFormatting sqref="H60">
    <cfRule type="expression" dxfId="352" priority="21" stopIfTrue="1">
      <formula>"esterreur(reference)"</formula>
    </cfRule>
  </conditionalFormatting>
  <conditionalFormatting sqref="G31:G32">
    <cfRule type="expression" dxfId="351" priority="16" stopIfTrue="1">
      <formula>"esterreur(reference)"</formula>
    </cfRule>
  </conditionalFormatting>
  <conditionalFormatting sqref="I83:I85 I13:I14 I24:I30 I20 I16:I18">
    <cfRule type="expression" dxfId="350" priority="7" stopIfTrue="1">
      <formula>"esterreur(reference)"</formula>
    </cfRule>
  </conditionalFormatting>
  <conditionalFormatting sqref="F83:F85">
    <cfRule type="expression" dxfId="349" priority="6" stopIfTrue="1">
      <formula>"esterreur(reference)"</formula>
    </cfRule>
  </conditionalFormatting>
  <conditionalFormatting sqref="F5">
    <cfRule type="expression" dxfId="348" priority="5" stopIfTrue="1">
      <formula>"esterreur(reference)"</formula>
    </cfRule>
  </conditionalFormatting>
  <conditionalFormatting sqref="G171:G180">
    <cfRule type="expression" dxfId="347" priority="4" stopIfTrue="1">
      <formula>"esterreur(reference)"</formula>
    </cfRule>
  </conditionalFormatting>
  <conditionalFormatting sqref="D171:D180">
    <cfRule type="expression" dxfId="346" priority="3" stopIfTrue="1">
      <formula>"esterreur(reference)"</formula>
    </cfRule>
  </conditionalFormatting>
  <conditionalFormatting sqref="E185">
    <cfRule type="expression" dxfId="345" priority="2" stopIfTrue="1">
      <formula>"esterreur(reference)"</formula>
    </cfRule>
  </conditionalFormatting>
  <conditionalFormatting sqref="F100">
    <cfRule type="expression" dxfId="344"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T35"/>
  <sheetViews>
    <sheetView zoomScaleNormal="100" workbookViewId="0"/>
  </sheetViews>
  <sheetFormatPr baseColWidth="10" defaultColWidth="11" defaultRowHeight="15"/>
  <cols>
    <col min="1" max="1" width="3.25" style="1270" customWidth="1"/>
    <col min="2" max="2" width="16.375" style="1270" customWidth="1"/>
    <col min="3" max="5" width="11.125" style="1270" customWidth="1"/>
    <col min="6" max="6" width="3.25" style="1270" customWidth="1"/>
    <col min="7" max="7" width="16.375" style="1270" customWidth="1"/>
    <col min="8" max="10" width="11.125" style="1270" customWidth="1"/>
    <col min="11" max="11" width="3.25" style="1270" customWidth="1"/>
    <col min="12" max="12" width="16.375" style="1270" customWidth="1"/>
    <col min="13" max="15" width="11.125" style="1270" customWidth="1"/>
    <col min="16" max="16" width="3.25" style="1270" customWidth="1"/>
    <col min="17" max="17" width="16.375" style="1270" customWidth="1"/>
    <col min="18" max="20" width="11.125" style="1270" customWidth="1"/>
    <col min="21" max="16384" width="11" style="1270"/>
  </cols>
  <sheetData>
    <row r="1" spans="2:20" ht="16.5" thickTop="1" thickBot="1">
      <c r="B1" s="1301" t="s">
        <v>3328</v>
      </c>
      <c r="C1" s="1302"/>
      <c r="D1" s="1302"/>
      <c r="E1" s="1302"/>
      <c r="F1" s="1302"/>
      <c r="G1" s="1302"/>
      <c r="H1" s="1302"/>
      <c r="I1" s="1302"/>
      <c r="J1" s="1302"/>
      <c r="K1" s="1302"/>
      <c r="L1" s="1302"/>
      <c r="M1" s="1302"/>
      <c r="N1" s="1302"/>
      <c r="O1" s="1302"/>
      <c r="P1" s="1302"/>
      <c r="Q1" s="1302"/>
      <c r="R1" s="1302"/>
      <c r="S1" s="1302"/>
      <c r="T1" s="1303"/>
    </row>
    <row r="2" spans="2:20" ht="15.75" thickTop="1"/>
    <row r="3" spans="2:20">
      <c r="B3" s="1248" t="s">
        <v>3302</v>
      </c>
      <c r="C3" s="1269" t="s">
        <v>3303</v>
      </c>
      <c r="D3" s="1269" t="s">
        <v>3304</v>
      </c>
      <c r="E3" s="1269" t="s">
        <v>3305</v>
      </c>
      <c r="G3" s="1248" t="s">
        <v>3306</v>
      </c>
      <c r="H3" s="1269" t="s">
        <v>3303</v>
      </c>
      <c r="I3" s="1269" t="s">
        <v>3304</v>
      </c>
      <c r="J3" s="1269" t="s">
        <v>3305</v>
      </c>
      <c r="L3" s="1248" t="s">
        <v>155</v>
      </c>
      <c r="M3" s="1269" t="s">
        <v>3307</v>
      </c>
      <c r="N3" s="1269" t="s">
        <v>3308</v>
      </c>
      <c r="O3" s="1269" t="s">
        <v>3305</v>
      </c>
      <c r="Q3" s="1248" t="s">
        <v>3309</v>
      </c>
      <c r="R3" s="1269" t="s">
        <v>3303</v>
      </c>
      <c r="S3" s="1269" t="s">
        <v>3310</v>
      </c>
      <c r="T3" s="1269" t="s">
        <v>1914</v>
      </c>
    </row>
    <row r="4" spans="2:20">
      <c r="B4" s="1271" t="s">
        <v>3311</v>
      </c>
      <c r="G4" s="1271" t="s">
        <v>3311</v>
      </c>
      <c r="L4" s="1271" t="s">
        <v>3311</v>
      </c>
      <c r="Q4" s="1271" t="s">
        <v>3311</v>
      </c>
    </row>
    <row r="5" spans="2:20">
      <c r="B5" s="1250" t="s">
        <v>3312</v>
      </c>
      <c r="C5" s="1267">
        <f>Print_Mois!J27</f>
        <v>0</v>
      </c>
      <c r="D5" s="1251" t="e">
        <f>Print_Mois!L27/Print_Mois!J27</f>
        <v>#DIV/0!</v>
      </c>
      <c r="E5" s="1252" t="e">
        <f>+C5*D5</f>
        <v>#DIV/0!</v>
      </c>
      <c r="G5" s="1250" t="s">
        <v>3312</v>
      </c>
      <c r="H5" s="1267">
        <f>Print_Mois!J107</f>
        <v>0</v>
      </c>
      <c r="I5" s="1251" t="e">
        <f>Print_Mois!L107/Print_Mois!J107</f>
        <v>#DIV/0!</v>
      </c>
      <c r="J5" s="1252" t="e">
        <f>+H5*I5</f>
        <v>#DIV/0!</v>
      </c>
      <c r="L5" s="1250" t="s">
        <v>3312</v>
      </c>
      <c r="M5" s="1253">
        <f>Print_Mois!K193</f>
        <v>0</v>
      </c>
      <c r="N5" s="1254" t="e">
        <f>O5/M5</f>
        <v>#DIV/0!</v>
      </c>
      <c r="O5" s="1255">
        <f>Print_Mois!L193</f>
        <v>0</v>
      </c>
      <c r="Q5" s="1250" t="s">
        <v>3312</v>
      </c>
      <c r="R5" s="1256">
        <f>Print_Mois!J184</f>
        <v>0</v>
      </c>
      <c r="S5" s="1251" t="e">
        <f>Print_Mois!K184/Print_Mois!J184</f>
        <v>#DIV/0!</v>
      </c>
      <c r="T5" s="1252" t="e">
        <f>+R5*S5</f>
        <v>#DIV/0!</v>
      </c>
    </row>
    <row r="6" spans="2:20">
      <c r="B6" s="1272" t="s">
        <v>6</v>
      </c>
      <c r="C6" s="1273">
        <f>Print_Mois!G27</f>
        <v>77.054888580872159</v>
      </c>
      <c r="D6" s="1274">
        <f>Print_Mois!I27/Print_Mois!G27</f>
        <v>2785.0818045133046</v>
      </c>
      <c r="E6" s="1275">
        <f>+C6*D6</f>
        <v>214604.16813538707</v>
      </c>
      <c r="G6" s="1272" t="s">
        <v>6</v>
      </c>
      <c r="H6" s="1273">
        <f>Print_Mois!G107</f>
        <v>76.805010003925503</v>
      </c>
      <c r="I6" s="1274">
        <f>Print_Mois!I107/Print_Mois!G107</f>
        <v>1773.5940903255234</v>
      </c>
      <c r="J6" s="1275">
        <f>+H6*I6</f>
        <v>136220.91185035498</v>
      </c>
      <c r="L6" s="1272" t="s">
        <v>6</v>
      </c>
      <c r="M6" s="1276">
        <f>Print_Mois!H193</f>
        <v>317352.12196554657</v>
      </c>
      <c r="N6" s="1257">
        <f>O6/M6</f>
        <v>0.68305708641219021</v>
      </c>
      <c r="O6" s="1277">
        <f>Print_Mois!I193</f>
        <v>216769.61579651225</v>
      </c>
      <c r="Q6" s="1272" t="s">
        <v>6</v>
      </c>
      <c r="R6" s="1298">
        <f>Print_Mois!G184</f>
        <v>1288.9244521105356</v>
      </c>
      <c r="S6" s="1274">
        <f>Print_Mois!H184/Print_Mois!G184</f>
        <v>227.13587234924012</v>
      </c>
      <c r="T6" s="1275">
        <f>+R6*S6</f>
        <v>292760.97982239287</v>
      </c>
    </row>
    <row r="7" spans="2:20" ht="15.75" thickBot="1">
      <c r="B7" s="1278" t="s">
        <v>3311</v>
      </c>
      <c r="C7" s="1279">
        <f>+C5-C6</f>
        <v>-77.054888580872159</v>
      </c>
      <c r="D7" s="1280" t="e">
        <f t="shared" ref="D7:E7" si="0">+D5-D6</f>
        <v>#DIV/0!</v>
      </c>
      <c r="E7" s="1258" t="e">
        <f t="shared" si="0"/>
        <v>#DIV/0!</v>
      </c>
      <c r="G7" s="1278" t="s">
        <v>3311</v>
      </c>
      <c r="H7" s="1279">
        <f>+H5-H6</f>
        <v>-76.805010003925503</v>
      </c>
      <c r="I7" s="1280" t="e">
        <f t="shared" ref="I7:J7" si="1">+I5-I6</f>
        <v>#DIV/0!</v>
      </c>
      <c r="J7" s="1258" t="e">
        <f t="shared" si="1"/>
        <v>#DIV/0!</v>
      </c>
      <c r="L7" s="1278" t="s">
        <v>3311</v>
      </c>
      <c r="M7" s="1281">
        <f>+M5-M6</f>
        <v>-317352.12196554657</v>
      </c>
      <c r="N7" s="1282" t="e">
        <f t="shared" ref="N7:O7" si="2">+N5-N6</f>
        <v>#DIV/0!</v>
      </c>
      <c r="O7" s="1259">
        <f t="shared" si="2"/>
        <v>-216769.61579651225</v>
      </c>
      <c r="Q7" s="1278" t="s">
        <v>3311</v>
      </c>
      <c r="R7" s="1299">
        <f>+R5-R6</f>
        <v>-1288.9244521105356</v>
      </c>
      <c r="S7" s="1280" t="e">
        <f t="shared" ref="S7:T7" si="3">+S5-S6</f>
        <v>#DIV/0!</v>
      </c>
      <c r="T7" s="1260" t="e">
        <f t="shared" si="3"/>
        <v>#DIV/0!</v>
      </c>
    </row>
    <row r="8" spans="2:20" ht="15.75" thickTop="1">
      <c r="C8" s="1261">
        <f>+C7/C6</f>
        <v>-1</v>
      </c>
      <c r="D8" s="1261" t="e">
        <f>+D7/D6</f>
        <v>#DIV/0!</v>
      </c>
      <c r="E8" s="1275"/>
      <c r="H8" s="1261">
        <f>+H7/H6</f>
        <v>-1</v>
      </c>
      <c r="I8" s="1261" t="e">
        <f>+I7/I6</f>
        <v>#DIV/0!</v>
      </c>
      <c r="J8" s="1275"/>
      <c r="M8" s="1261">
        <f>+M7/M6</f>
        <v>-1</v>
      </c>
      <c r="N8" s="1261" t="e">
        <f>+N7/N6</f>
        <v>#DIV/0!</v>
      </c>
      <c r="O8" s="1284"/>
      <c r="R8" s="1261">
        <f>+R7/R6</f>
        <v>-1</v>
      </c>
      <c r="S8" s="1261" t="e">
        <f>+S7/S6</f>
        <v>#DIV/0!</v>
      </c>
      <c r="T8" s="1275"/>
    </row>
    <row r="9" spans="2:20">
      <c r="B9" s="1271" t="s">
        <v>3313</v>
      </c>
      <c r="D9" s="1275"/>
      <c r="E9" s="1275"/>
      <c r="G9" s="1271" t="s">
        <v>3313</v>
      </c>
      <c r="H9" s="1283"/>
      <c r="I9" s="1275"/>
      <c r="J9" s="1275"/>
      <c r="L9" s="1271" t="s">
        <v>3313</v>
      </c>
      <c r="M9" s="1275"/>
      <c r="N9" s="1285"/>
      <c r="O9" s="1284"/>
      <c r="Q9" s="1271" t="s">
        <v>3313</v>
      </c>
      <c r="S9" s="1275"/>
      <c r="T9" s="1275"/>
    </row>
    <row r="10" spans="2:20">
      <c r="B10" s="1272" t="s">
        <v>3314</v>
      </c>
      <c r="C10" s="1268">
        <f>+C5</f>
        <v>0</v>
      </c>
      <c r="D10" s="1252" t="e">
        <f>+D5</f>
        <v>#DIV/0!</v>
      </c>
      <c r="E10" s="1275" t="e">
        <f>+C10*D10</f>
        <v>#DIV/0!</v>
      </c>
      <c r="G10" s="1272" t="s">
        <v>3314</v>
      </c>
      <c r="H10" s="1268">
        <f>+H5</f>
        <v>0</v>
      </c>
      <c r="I10" s="1252" t="e">
        <f>+I5</f>
        <v>#DIV/0!</v>
      </c>
      <c r="J10" s="1275" t="e">
        <f>+H10*I10</f>
        <v>#DIV/0!</v>
      </c>
      <c r="L10" s="1272" t="s">
        <v>3314</v>
      </c>
      <c r="M10" s="1262">
        <f>+M5</f>
        <v>0</v>
      </c>
      <c r="N10" s="1263" t="e">
        <f>+N5</f>
        <v>#DIV/0!</v>
      </c>
      <c r="O10" s="1284" t="e">
        <f>+M10*N10</f>
        <v>#DIV/0!</v>
      </c>
      <c r="Q10" s="1272" t="s">
        <v>3314</v>
      </c>
      <c r="R10" s="1264">
        <f>+R5</f>
        <v>0</v>
      </c>
      <c r="S10" s="1252" t="e">
        <f>+S5</f>
        <v>#DIV/0!</v>
      </c>
      <c r="T10" s="1275" t="e">
        <f>+R10*S10</f>
        <v>#DIV/0!</v>
      </c>
    </row>
    <row r="11" spans="2:20">
      <c r="B11" s="1272" t="s">
        <v>3315</v>
      </c>
      <c r="C11" s="1268">
        <f>+C5</f>
        <v>0</v>
      </c>
      <c r="D11" s="1275">
        <f>+D6</f>
        <v>2785.0818045133046</v>
      </c>
      <c r="E11" s="1275">
        <f>C11*D11</f>
        <v>0</v>
      </c>
      <c r="G11" s="1272" t="s">
        <v>3315</v>
      </c>
      <c r="H11" s="1268">
        <f>+H5</f>
        <v>0</v>
      </c>
      <c r="I11" s="1275">
        <f>+I6</f>
        <v>1773.5940903255234</v>
      </c>
      <c r="J11" s="1275">
        <f>H11*I11</f>
        <v>0</v>
      </c>
      <c r="L11" s="1272" t="s">
        <v>3315</v>
      </c>
      <c r="M11" s="1262">
        <f>+M5</f>
        <v>0</v>
      </c>
      <c r="N11" s="1286">
        <f>+N6</f>
        <v>0.68305708641219021</v>
      </c>
      <c r="O11" s="1284">
        <f>M11*N11</f>
        <v>0</v>
      </c>
      <c r="Q11" s="1272" t="s">
        <v>3315</v>
      </c>
      <c r="R11" s="1264">
        <f>+R5</f>
        <v>0</v>
      </c>
      <c r="S11" s="1275">
        <f>+S6</f>
        <v>227.13587234924012</v>
      </c>
      <c r="T11" s="1275">
        <f>R11*S11</f>
        <v>0</v>
      </c>
    </row>
    <row r="12" spans="2:20" ht="15.75" thickBot="1">
      <c r="B12" s="1278" t="s">
        <v>3313</v>
      </c>
      <c r="C12" s="1279">
        <f>+C10-C11</f>
        <v>0</v>
      </c>
      <c r="D12" s="1280" t="e">
        <f t="shared" ref="D12:E12" si="4">+D10-D11</f>
        <v>#DIV/0!</v>
      </c>
      <c r="E12" s="1258" t="e">
        <f t="shared" si="4"/>
        <v>#DIV/0!</v>
      </c>
      <c r="G12" s="1278" t="s">
        <v>3313</v>
      </c>
      <c r="H12" s="1279">
        <f>+H10-H11</f>
        <v>0</v>
      </c>
      <c r="I12" s="1280" t="e">
        <f t="shared" ref="I12:J12" si="5">+I10-I11</f>
        <v>#DIV/0!</v>
      </c>
      <c r="J12" s="1258" t="e">
        <f t="shared" si="5"/>
        <v>#DIV/0!</v>
      </c>
      <c r="L12" s="1278" t="s">
        <v>3313</v>
      </c>
      <c r="M12" s="1281">
        <f>+M10-M11</f>
        <v>0</v>
      </c>
      <c r="N12" s="1282" t="e">
        <f t="shared" ref="N12:O12" si="6">+N10-N11</f>
        <v>#DIV/0!</v>
      </c>
      <c r="O12" s="1259" t="e">
        <f t="shared" si="6"/>
        <v>#DIV/0!</v>
      </c>
      <c r="Q12" s="1278" t="s">
        <v>3313</v>
      </c>
      <c r="R12" s="1299">
        <f>+R10-R11</f>
        <v>0</v>
      </c>
      <c r="S12" s="1280" t="e">
        <f t="shared" ref="S12:T12" si="7">+S10-S11</f>
        <v>#DIV/0!</v>
      </c>
      <c r="T12" s="1260" t="e">
        <f t="shared" si="7"/>
        <v>#DIV/0!</v>
      </c>
    </row>
    <row r="13" spans="2:20" ht="15.75" thickTop="1">
      <c r="B13" s="1272"/>
      <c r="C13" s="1283"/>
      <c r="D13" s="1275"/>
      <c r="E13" s="1275"/>
      <c r="G13" s="1272"/>
      <c r="H13" s="1283"/>
      <c r="I13" s="1275"/>
      <c r="J13" s="1275"/>
      <c r="L13" s="1272"/>
      <c r="M13" s="1275"/>
      <c r="N13" s="1287"/>
      <c r="O13" s="1288"/>
      <c r="Q13" s="1272"/>
      <c r="S13" s="1275"/>
      <c r="T13" s="1275"/>
    </row>
    <row r="14" spans="2:20">
      <c r="B14" s="1271" t="s">
        <v>3316</v>
      </c>
      <c r="C14" s="1283"/>
      <c r="D14" s="1275"/>
      <c r="E14" s="1275"/>
      <c r="G14" s="1271" t="s">
        <v>3316</v>
      </c>
      <c r="H14" s="1283"/>
      <c r="I14" s="1275"/>
      <c r="J14" s="1275"/>
      <c r="L14" s="1271" t="s">
        <v>3316</v>
      </c>
      <c r="M14" s="1275"/>
      <c r="N14" s="1286"/>
      <c r="O14" s="1284"/>
      <c r="Q14" s="1271" t="s">
        <v>3316</v>
      </c>
      <c r="S14" s="1275"/>
      <c r="T14" s="1275"/>
    </row>
    <row r="15" spans="2:20">
      <c r="B15" s="1272" t="s">
        <v>3317</v>
      </c>
      <c r="C15" s="1268">
        <f>+C5</f>
        <v>0</v>
      </c>
      <c r="D15" s="1275">
        <f>+D6</f>
        <v>2785.0818045133046</v>
      </c>
      <c r="E15" s="1275">
        <f>+C15*D15</f>
        <v>0</v>
      </c>
      <c r="G15" s="1272" t="s">
        <v>3317</v>
      </c>
      <c r="H15" s="1268">
        <f>+H5</f>
        <v>0</v>
      </c>
      <c r="I15" s="1275">
        <f>+I6</f>
        <v>1773.5940903255234</v>
      </c>
      <c r="J15" s="1275">
        <f>+H15*I15</f>
        <v>0</v>
      </c>
      <c r="L15" s="1272" t="s">
        <v>3317</v>
      </c>
      <c r="M15" s="1262">
        <f>+M5</f>
        <v>0</v>
      </c>
      <c r="N15" s="1286">
        <f>+N6</f>
        <v>0.68305708641219021</v>
      </c>
      <c r="O15" s="1284">
        <f>+M15*N15</f>
        <v>0</v>
      </c>
      <c r="Q15" s="1272" t="s">
        <v>3317</v>
      </c>
      <c r="R15" s="1264">
        <f>+R5</f>
        <v>0</v>
      </c>
      <c r="S15" s="1275">
        <f>+S6</f>
        <v>227.13587234924012</v>
      </c>
      <c r="T15" s="1275">
        <f>+R15*S15</f>
        <v>0</v>
      </c>
    </row>
    <row r="16" spans="2:20">
      <c r="B16" s="1272" t="s">
        <v>3318</v>
      </c>
      <c r="C16" s="1289">
        <f>+C6</f>
        <v>77.054888580872159</v>
      </c>
      <c r="D16" s="1275">
        <f>+D6</f>
        <v>2785.0818045133046</v>
      </c>
      <c r="E16" s="1275">
        <f>C16*D16</f>
        <v>214604.16813538707</v>
      </c>
      <c r="G16" s="1272" t="s">
        <v>3318</v>
      </c>
      <c r="H16" s="1289">
        <f>+H6</f>
        <v>76.805010003925503</v>
      </c>
      <c r="I16" s="1275">
        <f>+I6</f>
        <v>1773.5940903255234</v>
      </c>
      <c r="J16" s="1275">
        <f>H16*I16</f>
        <v>136220.91185035498</v>
      </c>
      <c r="L16" s="1272" t="s">
        <v>3318</v>
      </c>
      <c r="M16" s="1290">
        <f>+M6</f>
        <v>317352.12196554657</v>
      </c>
      <c r="N16" s="1286">
        <f>+N6</f>
        <v>0.68305708641219021</v>
      </c>
      <c r="O16" s="1284">
        <f>M16*N16</f>
        <v>216769.61579651225</v>
      </c>
      <c r="Q16" s="1272" t="s">
        <v>3318</v>
      </c>
      <c r="R16" s="1300">
        <f>+R6</f>
        <v>1288.9244521105356</v>
      </c>
      <c r="S16" s="1275">
        <f>+S6</f>
        <v>227.13587234924012</v>
      </c>
      <c r="T16" s="1275">
        <f>R16*S16</f>
        <v>292760.97982239287</v>
      </c>
    </row>
    <row r="17" spans="2:20" ht="15.75" thickBot="1">
      <c r="B17" s="1278" t="s">
        <v>3316</v>
      </c>
      <c r="C17" s="1279">
        <f>+C15-C16</f>
        <v>-77.054888580872159</v>
      </c>
      <c r="D17" s="1280">
        <f t="shared" ref="D17:E17" si="8">+D15-D16</f>
        <v>0</v>
      </c>
      <c r="E17" s="1258">
        <f t="shared" si="8"/>
        <v>-214604.16813538707</v>
      </c>
      <c r="G17" s="1278" t="s">
        <v>3316</v>
      </c>
      <c r="H17" s="1279">
        <f>+H15-H16</f>
        <v>-76.805010003925503</v>
      </c>
      <c r="I17" s="1280">
        <f t="shared" ref="I17:J17" si="9">+I15-I16</f>
        <v>0</v>
      </c>
      <c r="J17" s="1258">
        <f t="shared" si="9"/>
        <v>-136220.91185035498</v>
      </c>
      <c r="L17" s="1278" t="s">
        <v>3316</v>
      </c>
      <c r="M17" s="1281">
        <f>+M15-M16</f>
        <v>-317352.12196554657</v>
      </c>
      <c r="N17" s="1282">
        <f t="shared" ref="N17:O17" si="10">+N15-N16</f>
        <v>0</v>
      </c>
      <c r="O17" s="1259">
        <f t="shared" si="10"/>
        <v>-216769.61579651225</v>
      </c>
      <c r="Q17" s="1278" t="s">
        <v>3316</v>
      </c>
      <c r="R17" s="1299">
        <f>+R15-R16</f>
        <v>-1288.9244521105356</v>
      </c>
      <c r="S17" s="1280">
        <f t="shared" ref="S17:T17" si="11">+S15-S16</f>
        <v>0</v>
      </c>
      <c r="T17" s="1260">
        <f t="shared" si="11"/>
        <v>-292760.97982239287</v>
      </c>
    </row>
    <row r="18" spans="2:20" ht="15.75" thickTop="1">
      <c r="C18" s="1283"/>
      <c r="D18" s="1275"/>
      <c r="E18" s="1265" t="e">
        <f>+E7-E12-E17</f>
        <v>#DIV/0!</v>
      </c>
      <c r="H18" s="1283"/>
      <c r="I18" s="1275"/>
      <c r="J18" s="1265" t="e">
        <f>+J7-J12-J17</f>
        <v>#DIV/0!</v>
      </c>
      <c r="M18" s="1275"/>
      <c r="N18" s="1286"/>
      <c r="O18" s="1266" t="e">
        <f>+O7-O12-O17</f>
        <v>#DIV/0!</v>
      </c>
      <c r="S18" s="1275"/>
      <c r="T18" s="1265" t="e">
        <f>+T7-T12-T17</f>
        <v>#DIV/0!</v>
      </c>
    </row>
    <row r="19" spans="2:20">
      <c r="B19" s="1291" t="s">
        <v>3319</v>
      </c>
      <c r="C19" s="1283"/>
      <c r="D19" s="1275"/>
      <c r="E19" s="1275"/>
      <c r="G19" s="1291" t="s">
        <v>3319</v>
      </c>
      <c r="H19" s="1283"/>
      <c r="I19" s="1275"/>
      <c r="J19" s="1275"/>
      <c r="L19" s="1291" t="s">
        <v>3319</v>
      </c>
      <c r="M19" s="1275"/>
      <c r="N19" s="1286"/>
      <c r="O19" s="1284"/>
      <c r="Q19" s="1291" t="s">
        <v>3319</v>
      </c>
      <c r="S19" s="1275"/>
      <c r="T19" s="1275"/>
    </row>
    <row r="20" spans="2:20">
      <c r="B20" s="1272" t="s">
        <v>3320</v>
      </c>
      <c r="C20" s="1289">
        <f>MAX(C5:C6)</f>
        <v>77.054888580872159</v>
      </c>
      <c r="D20" s="1275" t="e">
        <f>MAX(D5:D6)</f>
        <v>#DIV/0!</v>
      </c>
      <c r="E20" s="1275" t="e">
        <f t="shared" ref="E20:E22" si="12">+C20*D20</f>
        <v>#DIV/0!</v>
      </c>
      <c r="G20" s="1272" t="s">
        <v>3320</v>
      </c>
      <c r="H20" s="1289">
        <f>MAX(H5:H6)</f>
        <v>76.805010003925503</v>
      </c>
      <c r="I20" s="1275" t="e">
        <f>MAX(I5:I6)</f>
        <v>#DIV/0!</v>
      </c>
      <c r="J20" s="1275" t="e">
        <f t="shared" ref="J20" si="13">+H20*I20</f>
        <v>#DIV/0!</v>
      </c>
      <c r="L20" s="1272" t="s">
        <v>3320</v>
      </c>
      <c r="M20" s="1290">
        <f>MAX(M5:M6)</f>
        <v>317352.12196554657</v>
      </c>
      <c r="N20" s="1286" t="e">
        <f>MAX(N5:N6)</f>
        <v>#DIV/0!</v>
      </c>
      <c r="O20" s="1284" t="e">
        <f t="shared" ref="O20" si="14">+M20*N20</f>
        <v>#DIV/0!</v>
      </c>
      <c r="Q20" s="1272" t="s">
        <v>3320</v>
      </c>
      <c r="R20" s="1300">
        <f>MAX(R5:R6)</f>
        <v>1288.9244521105356</v>
      </c>
      <c r="S20" s="1275" t="e">
        <f>MAX(S5:S6)</f>
        <v>#DIV/0!</v>
      </c>
      <c r="T20" s="1275" t="e">
        <f t="shared" ref="T20" si="15">+R20*S20</f>
        <v>#DIV/0!</v>
      </c>
    </row>
    <row r="21" spans="2:20">
      <c r="B21" s="1278" t="s">
        <v>3321</v>
      </c>
      <c r="C21" s="1289"/>
      <c r="D21" s="1275"/>
      <c r="E21" s="1292" t="e">
        <f>AVERAGE(E20,E22)</f>
        <v>#DIV/0!</v>
      </c>
      <c r="G21" s="1278" t="s">
        <v>3321</v>
      </c>
      <c r="H21" s="1289"/>
      <c r="I21" s="1275"/>
      <c r="J21" s="1292" t="e">
        <f>AVERAGE(J20,J22)</f>
        <v>#DIV/0!</v>
      </c>
      <c r="L21" s="1278" t="s">
        <v>3321</v>
      </c>
      <c r="M21" s="1290"/>
      <c r="N21" s="1286"/>
      <c r="O21" s="1293" t="e">
        <f>AVERAGE(O20,O22)</f>
        <v>#DIV/0!</v>
      </c>
      <c r="Q21" s="1278" t="s">
        <v>3321</v>
      </c>
      <c r="R21" s="1300"/>
      <c r="S21" s="1275"/>
      <c r="T21" s="1292" t="e">
        <f>AVERAGE(T20,T22)</f>
        <v>#DIV/0!</v>
      </c>
    </row>
    <row r="22" spans="2:20">
      <c r="B22" s="1272" t="s">
        <v>3322</v>
      </c>
      <c r="C22" s="1289">
        <f>MIN(C5:C6)</f>
        <v>0</v>
      </c>
      <c r="D22" s="1275" t="e">
        <f>MIN(D5:D6)</f>
        <v>#DIV/0!</v>
      </c>
      <c r="E22" s="1275" t="e">
        <f t="shared" si="12"/>
        <v>#DIV/0!</v>
      </c>
      <c r="G22" s="1272" t="s">
        <v>3322</v>
      </c>
      <c r="H22" s="1289">
        <f>MIN(H5:H6)</f>
        <v>0</v>
      </c>
      <c r="I22" s="1275" t="e">
        <f>MIN(I5:I6)</f>
        <v>#DIV/0!</v>
      </c>
      <c r="J22" s="1275" t="e">
        <f t="shared" ref="J22" si="16">+H22*I22</f>
        <v>#DIV/0!</v>
      </c>
      <c r="L22" s="1272" t="s">
        <v>3322</v>
      </c>
      <c r="M22" s="1290">
        <f>MIN(M5:M6)</f>
        <v>0</v>
      </c>
      <c r="N22" s="1286" t="e">
        <f>MIN(N5:N6)</f>
        <v>#DIV/0!</v>
      </c>
      <c r="O22" s="1284" t="e">
        <f t="shared" ref="O22" si="17">+M22*N22</f>
        <v>#DIV/0!</v>
      </c>
      <c r="Q22" s="1272" t="s">
        <v>3322</v>
      </c>
      <c r="R22" s="1300">
        <f>MIN(R5:R6)</f>
        <v>0</v>
      </c>
      <c r="S22" s="1275" t="e">
        <f>MIN(S5:S6)</f>
        <v>#DIV/0!</v>
      </c>
      <c r="T22" s="1275" t="e">
        <f t="shared" ref="T22" si="18">+R22*S22</f>
        <v>#DIV/0!</v>
      </c>
    </row>
    <row r="23" spans="2:20" ht="15.75" thickBot="1">
      <c r="B23" s="1278" t="s">
        <v>3323</v>
      </c>
      <c r="C23" s="1279">
        <f>+C20-C22</f>
        <v>77.054888580872159</v>
      </c>
      <c r="D23" s="1280" t="e">
        <f t="shared" ref="D23:E23" si="19">+D20-D22</f>
        <v>#DIV/0!</v>
      </c>
      <c r="E23" s="1280" t="e">
        <f t="shared" si="19"/>
        <v>#DIV/0!</v>
      </c>
      <c r="G23" s="1278" t="s">
        <v>3323</v>
      </c>
      <c r="H23" s="1279">
        <f>+H20-H22</f>
        <v>76.805010003925503</v>
      </c>
      <c r="I23" s="1280" t="e">
        <f t="shared" ref="I23:J23" si="20">+I20-I22</f>
        <v>#DIV/0!</v>
      </c>
      <c r="J23" s="1280" t="e">
        <f t="shared" si="20"/>
        <v>#DIV/0!</v>
      </c>
      <c r="L23" s="1278" t="s">
        <v>3323</v>
      </c>
      <c r="M23" s="1281">
        <f>+M20-M22</f>
        <v>317352.12196554657</v>
      </c>
      <c r="N23" s="1282" t="e">
        <f t="shared" ref="N23:O23" si="21">+N20-N22</f>
        <v>#DIV/0!</v>
      </c>
      <c r="O23" s="1294" t="e">
        <f t="shared" si="21"/>
        <v>#DIV/0!</v>
      </c>
      <c r="Q23" s="1278" t="s">
        <v>3323</v>
      </c>
      <c r="R23" s="1299">
        <f>+R20-R22</f>
        <v>1288.9244521105356</v>
      </c>
      <c r="S23" s="1280" t="e">
        <f t="shared" ref="S23:T23" si="22">+S20-S22</f>
        <v>#DIV/0!</v>
      </c>
      <c r="T23" s="1280" t="e">
        <f t="shared" si="22"/>
        <v>#DIV/0!</v>
      </c>
    </row>
    <row r="24" spans="2:20" ht="15.75" thickTop="1"/>
    <row r="25" spans="2:20">
      <c r="C25" s="1295" t="s">
        <v>3324</v>
      </c>
      <c r="E25" s="1296" t="e">
        <f>+E5/E20</f>
        <v>#DIV/0!</v>
      </c>
      <c r="H25" s="1295" t="s">
        <v>3324</v>
      </c>
      <c r="J25" s="1296" t="e">
        <f>+J5/J20</f>
        <v>#DIV/0!</v>
      </c>
      <c r="M25" s="1295" t="s">
        <v>3324</v>
      </c>
      <c r="O25" s="1296" t="e">
        <f>+O5/O20</f>
        <v>#DIV/0!</v>
      </c>
      <c r="Q25" s="1296"/>
      <c r="R25" s="1295" t="s">
        <v>3324</v>
      </c>
      <c r="T25" s="1296" t="e">
        <f>+T5/T20</f>
        <v>#DIV/0!</v>
      </c>
    </row>
    <row r="26" spans="2:20">
      <c r="C26" s="1295" t="s">
        <v>3325</v>
      </c>
      <c r="E26" s="1286" t="e">
        <f>+E5/E21</f>
        <v>#DIV/0!</v>
      </c>
      <c r="H26" s="1295" t="s">
        <v>3325</v>
      </c>
      <c r="J26" s="1286" t="e">
        <f>+J5/J21</f>
        <v>#DIV/0!</v>
      </c>
      <c r="M26" s="1295" t="s">
        <v>3325</v>
      </c>
      <c r="O26" s="1286" t="e">
        <f>+O5/O21</f>
        <v>#DIV/0!</v>
      </c>
      <c r="Q26" s="1286"/>
      <c r="R26" s="1295" t="s">
        <v>3325</v>
      </c>
      <c r="T26" s="1286" t="e">
        <f>+T5/T21</f>
        <v>#DIV/0!</v>
      </c>
    </row>
    <row r="27" spans="2:20">
      <c r="C27" s="1295" t="s">
        <v>3326</v>
      </c>
      <c r="E27" s="1296" t="e">
        <f>+E5/E22</f>
        <v>#DIV/0!</v>
      </c>
      <c r="H27" s="1295" t="s">
        <v>3326</v>
      </c>
      <c r="J27" s="1296" t="e">
        <f>+J5/J22</f>
        <v>#DIV/0!</v>
      </c>
      <c r="M27" s="1295" t="s">
        <v>3326</v>
      </c>
      <c r="O27" s="1296" t="e">
        <f>+O5/O22</f>
        <v>#DIV/0!</v>
      </c>
      <c r="Q27" s="1296"/>
      <c r="R27" s="1295" t="s">
        <v>3326</v>
      </c>
      <c r="T27" s="1296" t="e">
        <f>+T5/T22</f>
        <v>#DIV/0!</v>
      </c>
    </row>
    <row r="28" spans="2:20" ht="7.5" customHeight="1"/>
    <row r="29" spans="2:20">
      <c r="C29" s="1295" t="s">
        <v>3327</v>
      </c>
      <c r="E29" s="1296" t="e">
        <f>+E27-E25</f>
        <v>#DIV/0!</v>
      </c>
      <c r="F29" s="1297"/>
      <c r="G29" s="1297"/>
      <c r="H29" s="1295" t="s">
        <v>3327</v>
      </c>
      <c r="J29" s="1296" t="e">
        <f>+J27-J25</f>
        <v>#DIV/0!</v>
      </c>
      <c r="M29" s="1295" t="s">
        <v>3327</v>
      </c>
      <c r="O29" s="1296" t="e">
        <f>+O27-O25</f>
        <v>#DIV/0!</v>
      </c>
      <c r="Q29" s="1297"/>
      <c r="R29" s="1295" t="s">
        <v>3327</v>
      </c>
      <c r="T29" s="1296" t="e">
        <f>+T27-T25</f>
        <v>#DIV/0!</v>
      </c>
    </row>
    <row r="31" spans="2:20">
      <c r="B31" s="1392" t="s">
        <v>3433</v>
      </c>
      <c r="C31" s="1393"/>
      <c r="D31" s="1394"/>
      <c r="G31" s="1392" t="s">
        <v>3433</v>
      </c>
      <c r="H31" s="1393"/>
      <c r="I31" s="1394"/>
    </row>
    <row r="32" spans="2:20">
      <c r="B32" s="1386" t="s">
        <v>3432</v>
      </c>
      <c r="C32" s="1388">
        <f>+C17</f>
        <v>-77.054888580872159</v>
      </c>
      <c r="D32" s="1275">
        <f>+E32/C32</f>
        <v>1045.3020429362034</v>
      </c>
      <c r="E32" s="1275">
        <f>+Print_Mois!N78</f>
        <v>-80545.632451807207</v>
      </c>
      <c r="G32" s="1385"/>
      <c r="H32" s="1283"/>
      <c r="I32" s="1275"/>
      <c r="J32" s="1275"/>
    </row>
    <row r="33" spans="2:10">
      <c r="B33" s="1387" t="s">
        <v>3434</v>
      </c>
      <c r="C33" s="1388">
        <f>+C17</f>
        <v>-77.054888580872159</v>
      </c>
      <c r="D33" s="1275">
        <f>+E33/C33</f>
        <v>359.1</v>
      </c>
      <c r="E33" s="1275">
        <f>+Print_Mois!N82</f>
        <v>-27670.410489391194</v>
      </c>
      <c r="G33" s="1387" t="s">
        <v>3434</v>
      </c>
      <c r="H33" s="1388">
        <f>+H17</f>
        <v>-76.805010003925503</v>
      </c>
      <c r="I33" s="1275">
        <f>+J33/H33</f>
        <v>192.01227698056661</v>
      </c>
      <c r="J33" s="1275">
        <f>+Print_Mois!N158</f>
        <v>-14747.504854368934</v>
      </c>
    </row>
    <row r="34" spans="2:10" ht="15.75" thickBot="1">
      <c r="E34" s="1280">
        <f>SUM(E32:E33)</f>
        <v>-108216.04294119839</v>
      </c>
      <c r="J34" s="1280">
        <f>SUM(J32:J33)</f>
        <v>-14747.504854368934</v>
      </c>
    </row>
    <row r="35" spans="2:10" ht="15.75" thickTop="1">
      <c r="G35" s="1385"/>
      <c r="H35" s="1283"/>
      <c r="I35" s="1275"/>
      <c r="J35" s="1275"/>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1" bestFit="1" customWidth="1"/>
    <col min="2" max="4" width="11" style="1341"/>
    <col min="5" max="5" width="2" style="1341" customWidth="1"/>
    <col min="6" max="8" width="11" style="1341"/>
    <col min="9" max="9" width="2" style="1341" customWidth="1"/>
    <col min="10" max="10" width="9.625" style="1341" customWidth="1"/>
    <col min="11" max="11" width="2" style="1341" customWidth="1"/>
    <col min="12" max="12" width="9.625" style="1341" customWidth="1"/>
    <col min="13" max="13" width="2" style="1341" customWidth="1"/>
    <col min="14" max="14" width="9.625" style="1341" customWidth="1"/>
    <col min="15" max="16384" width="11" style="1341"/>
  </cols>
  <sheetData>
    <row r="2" spans="1:14">
      <c r="A2" s="1336" t="s">
        <v>175</v>
      </c>
      <c r="B2" s="1338" t="s">
        <v>3411</v>
      </c>
      <c r="C2" s="1339"/>
      <c r="D2" s="1340"/>
      <c r="F2" s="1338" t="s">
        <v>3412</v>
      </c>
      <c r="G2" s="1339"/>
      <c r="H2" s="1340"/>
      <c r="J2" s="1342" t="s">
        <v>3311</v>
      </c>
      <c r="L2" s="1342" t="s">
        <v>3413</v>
      </c>
      <c r="N2" s="1342" t="s">
        <v>3414</v>
      </c>
    </row>
    <row r="3" spans="1:14">
      <c r="B3" s="1343" t="s">
        <v>157</v>
      </c>
      <c r="C3" s="1343" t="s">
        <v>176</v>
      </c>
      <c r="D3" s="1343" t="s">
        <v>85</v>
      </c>
      <c r="F3" s="1343" t="s">
        <v>157</v>
      </c>
      <c r="G3" s="1343" t="s">
        <v>176</v>
      </c>
      <c r="H3" s="1343" t="s">
        <v>85</v>
      </c>
      <c r="J3" s="1344"/>
      <c r="L3" s="1344"/>
      <c r="N3" s="1344"/>
    </row>
    <row r="4" spans="1:14">
      <c r="A4" s="1341" t="s">
        <v>177</v>
      </c>
      <c r="B4" s="1345">
        <f>+Print_Mois!J294</f>
        <v>0</v>
      </c>
      <c r="C4" s="1337" t="e">
        <f>D4/B4</f>
        <v>#DIV/0!</v>
      </c>
      <c r="D4" s="1345">
        <f>+Print_Mois!L294</f>
        <v>0</v>
      </c>
      <c r="F4" s="1345">
        <f>+Print_Mois!G294</f>
        <v>95696.632594750467</v>
      </c>
      <c r="G4" s="1337">
        <f>H4/F4</f>
        <v>0.35811007851031496</v>
      </c>
      <c r="H4" s="1345">
        <f>+Print_Mois!I294</f>
        <v>34269.928611678857</v>
      </c>
      <c r="I4" s="1346"/>
      <c r="J4" s="1347">
        <f t="shared" ref="J4:J11" si="0">+D4-H4</f>
        <v>-34269.928611678857</v>
      </c>
      <c r="L4" s="1347">
        <f t="shared" ref="L4:L9" si="1">(B4-F4)*G4</f>
        <v>-34269.928611678857</v>
      </c>
      <c r="N4" s="1347" t="e">
        <f t="shared" ref="N4:N9" si="2">B4*(C4-G4)</f>
        <v>#DIV/0!</v>
      </c>
    </row>
    <row r="5" spans="1:14">
      <c r="A5" s="1341" t="s">
        <v>178</v>
      </c>
      <c r="B5" s="1345">
        <f>+Print_Mois!J295</f>
        <v>0</v>
      </c>
      <c r="C5" s="1337" t="e">
        <f t="shared" ref="C5:C9" si="3">D5/B5</f>
        <v>#DIV/0!</v>
      </c>
      <c r="D5" s="1345">
        <f>+Print_Mois!L295</f>
        <v>0</v>
      </c>
      <c r="F5" s="1345">
        <f>+Print_Mois!G295</f>
        <v>40369.334451595299</v>
      </c>
      <c r="G5" s="1337">
        <f t="shared" ref="G5:G9" si="4">H5/F5</f>
        <v>0.2571723304036081</v>
      </c>
      <c r="H5" s="1345">
        <f>+Print_Mois!I295</f>
        <v>10381.875817759426</v>
      </c>
      <c r="I5" s="1346"/>
      <c r="J5" s="1347">
        <f t="shared" si="0"/>
        <v>-10381.875817759426</v>
      </c>
      <c r="L5" s="1347">
        <f t="shared" si="1"/>
        <v>-10381.875817759426</v>
      </c>
      <c r="N5" s="1347" t="e">
        <f t="shared" si="2"/>
        <v>#DIV/0!</v>
      </c>
    </row>
    <row r="6" spans="1:14">
      <c r="A6" s="1341" t="s">
        <v>179</v>
      </c>
      <c r="B6" s="1345">
        <f>+Print_Mois!J296</f>
        <v>0</v>
      </c>
      <c r="C6" s="1337" t="e">
        <f t="shared" si="3"/>
        <v>#DIV/0!</v>
      </c>
      <c r="D6" s="1345">
        <f>+Print_Mois!L296</f>
        <v>0</v>
      </c>
      <c r="F6" s="1345">
        <f>+Print_Mois!G296</f>
        <v>80768.008384112531</v>
      </c>
      <c r="G6" s="1337">
        <f t="shared" si="4"/>
        <v>0.24177651145507995</v>
      </c>
      <c r="H6" s="1345">
        <f>+Print_Mois!I296</f>
        <v>19527.807304285376</v>
      </c>
      <c r="I6" s="1346"/>
      <c r="J6" s="1347">
        <f t="shared" si="0"/>
        <v>-19527.807304285376</v>
      </c>
      <c r="L6" s="1347">
        <f t="shared" si="1"/>
        <v>-19527.807304285376</v>
      </c>
      <c r="N6" s="1347" t="e">
        <f t="shared" si="2"/>
        <v>#DIV/0!</v>
      </c>
    </row>
    <row r="7" spans="1:14">
      <c r="A7" s="1341" t="s">
        <v>180</v>
      </c>
      <c r="B7" s="1345">
        <f>+Print_Mois!J297</f>
        <v>0</v>
      </c>
      <c r="C7" s="1337" t="e">
        <f t="shared" si="3"/>
        <v>#DIV/0!</v>
      </c>
      <c r="D7" s="1345">
        <f>+Print_Mois!L297</f>
        <v>0</v>
      </c>
      <c r="F7" s="1345">
        <f>+Print_Mois!G297</f>
        <v>82965.37538955608</v>
      </c>
      <c r="G7" s="1337">
        <f t="shared" si="4"/>
        <v>0.32393223852119107</v>
      </c>
      <c r="H7" s="1345">
        <f>+Print_Mois!I297</f>
        <v>26875.159769689835</v>
      </c>
      <c r="I7" s="1346"/>
      <c r="J7" s="1347">
        <f t="shared" si="0"/>
        <v>-26875.159769689835</v>
      </c>
      <c r="L7" s="1347">
        <f t="shared" si="1"/>
        <v>-26875.159769689835</v>
      </c>
      <c r="N7" s="1347" t="e">
        <f t="shared" si="2"/>
        <v>#DIV/0!</v>
      </c>
    </row>
    <row r="8" spans="1:14">
      <c r="A8" s="1341" t="s">
        <v>181</v>
      </c>
      <c r="B8" s="1345">
        <f>+Print_Mois!J298</f>
        <v>0</v>
      </c>
      <c r="C8" s="1337" t="e">
        <f t="shared" si="3"/>
        <v>#DIV/0!</v>
      </c>
      <c r="D8" s="1345">
        <f>+Print_Mois!L298</f>
        <v>0</v>
      </c>
      <c r="F8" s="1345">
        <f>+Print_Mois!G298</f>
        <v>19902.298775527383</v>
      </c>
      <c r="G8" s="1337">
        <f t="shared" si="4"/>
        <v>0.28113730707120016</v>
      </c>
      <c r="H8" s="1345">
        <f>+Print_Mois!I298</f>
        <v>5595.2786822782127</v>
      </c>
      <c r="I8" s="1346"/>
      <c r="J8" s="1347">
        <f t="shared" si="0"/>
        <v>-5595.2786822782127</v>
      </c>
      <c r="L8" s="1347">
        <f t="shared" si="1"/>
        <v>-5595.2786822782127</v>
      </c>
      <c r="N8" s="1347" t="e">
        <f t="shared" si="2"/>
        <v>#DIV/0!</v>
      </c>
    </row>
    <row r="9" spans="1:14">
      <c r="A9" s="1341" t="s">
        <v>182</v>
      </c>
      <c r="B9" s="1345">
        <f>+Print_Mois!J299</f>
        <v>0</v>
      </c>
      <c r="C9" s="1337" t="e">
        <f t="shared" si="3"/>
        <v>#DIV/0!</v>
      </c>
      <c r="D9" s="1345">
        <f>+Print_Mois!L299</f>
        <v>0</v>
      </c>
      <c r="F9" s="1345">
        <f>+Print_Mois!G299</f>
        <v>60731.529763844148</v>
      </c>
      <c r="G9" s="1337">
        <f t="shared" si="4"/>
        <v>0.18194830719212418</v>
      </c>
      <c r="H9" s="1345">
        <f>+Print_Mois!I299</f>
        <v>11049.999033719549</v>
      </c>
      <c r="I9" s="1346"/>
      <c r="J9" s="1347">
        <f t="shared" si="0"/>
        <v>-11049.999033719549</v>
      </c>
      <c r="L9" s="1347">
        <f t="shared" si="1"/>
        <v>-11049.999033719549</v>
      </c>
      <c r="N9" s="1347" t="e">
        <f t="shared" si="2"/>
        <v>#DIV/0!</v>
      </c>
    </row>
    <row r="10" spans="1:14">
      <c r="A10" s="1341" t="s">
        <v>183</v>
      </c>
      <c r="B10" s="1345"/>
      <c r="C10" s="1337"/>
      <c r="D10" s="1345">
        <f>+Print_Mois!L301</f>
        <v>0</v>
      </c>
      <c r="F10" s="1345"/>
      <c r="G10" s="1337"/>
      <c r="H10" s="1345">
        <f>+Print_Mois!I301</f>
        <v>6304.657699491182</v>
      </c>
      <c r="I10" s="1346"/>
      <c r="J10" s="1347">
        <f t="shared" si="0"/>
        <v>-6304.657699491182</v>
      </c>
      <c r="L10" s="1347">
        <f>(H10/(H4+H5+H6+H7+H8+H9)*(D4+D5+D6+D7+D8+D9))-D10</f>
        <v>0</v>
      </c>
      <c r="N10" s="1347">
        <f>+J10-L10</f>
        <v>-6304.657699491182</v>
      </c>
    </row>
    <row r="11" spans="1:14">
      <c r="A11" s="1341" t="s">
        <v>184</v>
      </c>
      <c r="B11" s="1345"/>
      <c r="C11" s="1337"/>
      <c r="D11" s="1345"/>
      <c r="F11" s="1345"/>
      <c r="G11" s="1337"/>
      <c r="H11" s="1345"/>
      <c r="I11" s="1346"/>
      <c r="J11" s="1347">
        <f t="shared" si="0"/>
        <v>0</v>
      </c>
      <c r="L11" s="1347">
        <f>(B11-F11)*G11</f>
        <v>0</v>
      </c>
      <c r="N11" s="1347">
        <f t="shared" ref="N11" si="5">+J11-L11</f>
        <v>0</v>
      </c>
    </row>
    <row r="12" spans="1:14">
      <c r="A12" s="1341" t="s">
        <v>185</v>
      </c>
      <c r="B12" s="1348">
        <f>SUM(B4:B11)</f>
        <v>0</v>
      </c>
      <c r="C12" s="1349" t="e">
        <f>+D12/B12</f>
        <v>#DIV/0!</v>
      </c>
      <c r="D12" s="1348">
        <f>SUM(D4:D11)</f>
        <v>0</v>
      </c>
      <c r="F12" s="1348">
        <f>SUM(F4:F11)</f>
        <v>380433.17935938592</v>
      </c>
      <c r="G12" s="1349">
        <f>+H12/F12</f>
        <v>0.29967077821886035</v>
      </c>
      <c r="H12" s="1348">
        <f>SUM(H4:H11)</f>
        <v>114004.70691890245</v>
      </c>
      <c r="J12" s="1348">
        <f>SUM(J4:J11)</f>
        <v>-114004.70691890245</v>
      </c>
      <c r="L12" s="1348">
        <f>SUM(L4:L11)</f>
        <v>-107700.04921941126</v>
      </c>
      <c r="N12" s="1348" t="e">
        <f>SUM(N4:N11)</f>
        <v>#DIV/0!</v>
      </c>
    </row>
    <row r="13" spans="1:14">
      <c r="B13" s="1347"/>
      <c r="C13" s="1350"/>
      <c r="D13" s="1347"/>
      <c r="F13" s="1347"/>
      <c r="G13" s="1350"/>
      <c r="H13" s="1347"/>
      <c r="J13" s="1347"/>
      <c r="L13" s="1347"/>
      <c r="N13" s="1347"/>
    </row>
    <row r="14" spans="1:14">
      <c r="A14" s="1341" t="s">
        <v>186</v>
      </c>
      <c r="B14" s="1345">
        <f>+Print_Mois!J306</f>
        <v>0</v>
      </c>
      <c r="C14" s="1337" t="e">
        <f t="shared" ref="C14:C15" si="6">D14/B14</f>
        <v>#DIV/0!</v>
      </c>
      <c r="D14" s="1345">
        <f>+Print_Mois!L306</f>
        <v>0</v>
      </c>
      <c r="F14" s="1345">
        <f>+Print_Mois!G306</f>
        <v>84297.591738986535</v>
      </c>
      <c r="G14" s="1337">
        <f t="shared" ref="G14:G15" si="7">H14/F14</f>
        <v>0.1816444838198383</v>
      </c>
      <c r="H14" s="1345">
        <f>+Print_Mois!I306</f>
        <v>15312.192538683676</v>
      </c>
      <c r="I14" s="1346"/>
      <c r="J14" s="1347">
        <f>+D14-H14</f>
        <v>-15312.192538683676</v>
      </c>
      <c r="L14" s="1347">
        <f>(B14-F14)*G14</f>
        <v>-15312.192538683676</v>
      </c>
      <c r="N14" s="1347" t="e">
        <f>B14*(C14-G14)</f>
        <v>#DIV/0!</v>
      </c>
    </row>
    <row r="15" spans="1:14">
      <c r="A15" s="1341" t="s">
        <v>187</v>
      </c>
      <c r="B15" s="1345">
        <f>+Print_Mois!J307</f>
        <v>0</v>
      </c>
      <c r="C15" s="1337" t="e">
        <f t="shared" si="6"/>
        <v>#DIV/0!</v>
      </c>
      <c r="D15" s="1345">
        <f>+Print_Mois!L307</f>
        <v>0</v>
      </c>
      <c r="F15" s="1345">
        <f>+Print_Mois!G307</f>
        <v>25270.450725764731</v>
      </c>
      <c r="G15" s="1337">
        <f t="shared" si="7"/>
        <v>0.29130399895825637</v>
      </c>
      <c r="H15" s="1345">
        <f>+Print_Mois!I307</f>
        <v>7361.3833518928386</v>
      </c>
      <c r="I15" s="1346"/>
      <c r="J15" s="1347">
        <f>+D15-H15</f>
        <v>-7361.3833518928386</v>
      </c>
      <c r="L15" s="1347">
        <f>(B15-F15)*G15</f>
        <v>-7361.3833518928386</v>
      </c>
      <c r="N15" s="1347" t="e">
        <f>B15*(C15-G15)</f>
        <v>#DIV/0!</v>
      </c>
    </row>
    <row r="16" spans="1:14">
      <c r="A16" s="1341" t="s">
        <v>188</v>
      </c>
      <c r="B16" s="1351">
        <f>SUM(B14:B15)</f>
        <v>0</v>
      </c>
      <c r="C16" s="1352" t="e">
        <f>+D16/B16</f>
        <v>#DIV/0!</v>
      </c>
      <c r="D16" s="1351">
        <f>SUM(D14:D15)</f>
        <v>0</v>
      </c>
      <c r="F16" s="1351">
        <f>SUM(F14:F15)</f>
        <v>109568.04246475127</v>
      </c>
      <c r="G16" s="1352">
        <f>+H16/F16</f>
        <v>0.20693603153374532</v>
      </c>
      <c r="H16" s="1351">
        <f>SUM(H14:H15)</f>
        <v>22673.575890576514</v>
      </c>
      <c r="J16" s="1351">
        <f>SUM(J14:J15)</f>
        <v>-22673.575890576514</v>
      </c>
      <c r="L16" s="1351">
        <f>SUM(L14:L15)</f>
        <v>-22673.575890576514</v>
      </c>
      <c r="N16" s="1351" t="e">
        <f>SUM(N14:N15)</f>
        <v>#DIV/0!</v>
      </c>
    </row>
    <row r="17" spans="1:14">
      <c r="B17" s="1347"/>
      <c r="C17" s="1350"/>
      <c r="D17" s="1347"/>
      <c r="F17" s="1347"/>
      <c r="G17" s="1350"/>
      <c r="H17" s="1347"/>
      <c r="J17" s="1347"/>
      <c r="L17" s="1347"/>
      <c r="N17" s="1347"/>
    </row>
    <row r="18" spans="1:14" ht="15.75" thickBot="1">
      <c r="A18" s="1341" t="s">
        <v>3415</v>
      </c>
      <c r="B18" s="1353">
        <f>+B12+B16</f>
        <v>0</v>
      </c>
      <c r="C18" s="1354" t="e">
        <f>+D18/B18</f>
        <v>#DIV/0!</v>
      </c>
      <c r="D18" s="1353">
        <f>+D12+D16</f>
        <v>0</v>
      </c>
      <c r="F18" s="1353">
        <f>+F12+F16</f>
        <v>490001.2218241372</v>
      </c>
      <c r="G18" s="1354">
        <f>+H18/F18</f>
        <v>0.27893457551118755</v>
      </c>
      <c r="H18" s="1353">
        <f>+H12+H16</f>
        <v>136678.28280947896</v>
      </c>
      <c r="J18" s="1353">
        <f>+J12+J16</f>
        <v>-136678.28280947896</v>
      </c>
      <c r="L18" s="1353">
        <f>+L12+L16</f>
        <v>-130373.62510998777</v>
      </c>
      <c r="N18" s="1353" t="e">
        <f>+N12+N16</f>
        <v>#DIV/0!</v>
      </c>
    </row>
    <row r="19" spans="1:14" ht="15.75" thickTop="1"/>
    <row r="20" spans="1:14" ht="15.75" thickBot="1">
      <c r="D20" s="1355"/>
      <c r="E20" s="1356" t="s">
        <v>3416</v>
      </c>
      <c r="F20" s="1353">
        <f>+B18-F18</f>
        <v>-490001.2218241372</v>
      </c>
      <c r="N20" s="1355" t="e">
        <f>+J18-L18-N18</f>
        <v>#DIV/0!</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7"/>
  <sheetViews>
    <sheetView topLeftCell="T465" zoomScale="70" zoomScaleNormal="70" workbookViewId="0">
      <selection activeCell="AL500" sqref="AL500"/>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customWidth="1"/>
    <col min="8" max="8" width="15.625" style="564" customWidth="1"/>
    <col min="9" max="9" width="15.875" style="564"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91" t="str">
        <f>Parametres!B1</f>
        <v>Volks</v>
      </c>
      <c r="D1" s="19"/>
      <c r="E1" s="19"/>
      <c r="F1" s="19"/>
      <c r="G1" s="19"/>
      <c r="H1" s="18"/>
      <c r="I1" s="19"/>
      <c r="J1" s="18"/>
      <c r="K1" s="5" t="s">
        <v>75</v>
      </c>
      <c r="L1" s="19"/>
      <c r="M1" s="19"/>
      <c r="N1" s="20"/>
      <c r="O1" s="18"/>
      <c r="P1" s="19"/>
      <c r="Q1" s="18"/>
      <c r="R1" s="19"/>
      <c r="S1" s="6" t="str">
        <f>CONCATENATE("Réalisé AAJ,"," ",Parametres!B3," ",Parametres!B4)</f>
        <v>Réalisé AAJ, Octobre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421" t="s">
        <v>77</v>
      </c>
      <c r="E3" s="1422"/>
      <c r="F3" s="1423"/>
      <c r="G3" s="1424" t="s">
        <v>78</v>
      </c>
      <c r="H3" s="1422"/>
      <c r="I3" s="1423"/>
      <c r="J3" s="1424" t="s">
        <v>79</v>
      </c>
      <c r="K3" s="1422"/>
      <c r="L3" s="1423"/>
      <c r="M3" s="1424" t="s">
        <v>80</v>
      </c>
      <c r="N3" s="1423"/>
      <c r="O3" s="1421" t="s">
        <v>81</v>
      </c>
      <c r="P3" s="1422"/>
      <c r="Q3" s="1423"/>
      <c r="R3" s="1424" t="s">
        <v>82</v>
      </c>
      <c r="S3" s="1425"/>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28594485.406392138</v>
      </c>
      <c r="G5" s="304"/>
      <c r="H5" s="416"/>
      <c r="I5" s="620">
        <f>+SUMPRODUCT(('Budget révisé'!$A$8:$A$500=$A5)*('Budget révisé'!$C$3:$AO$3=I$2),'Budget révisé'!$C$8:$AO$500)</f>
        <v>28594485.406392138</v>
      </c>
      <c r="J5" s="304"/>
      <c r="K5" s="178"/>
      <c r="L5" s="171">
        <f>-SUMIFS(BV_Data_An_Cour!$Q:$Q,BV_Data_An_Cour!$Y:$Y,"Oui",BV_Data_An_Cour!$V:$V,$B5)</f>
        <v>0</v>
      </c>
      <c r="M5" s="417"/>
      <c r="N5" s="418"/>
      <c r="O5" s="304"/>
      <c r="P5" s="178"/>
      <c r="Q5" s="171">
        <f>-SUMIFS(BV_Data_An_Prec!$P:$P,BV_Data_An_Prec!$X:$X,"Oui",BV_Data_An_Prec!$U:$U,$B5)</f>
        <v>28683436.789999999</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145.93734939759034</v>
      </c>
      <c r="E6" s="173">
        <f>IF(D6=0,0,F6/D6)</f>
        <v>1450.6297619047621</v>
      </c>
      <c r="F6" s="173">
        <f>+SUMPRODUCT(('Budget original'!$A$8:$A$500=$A6)*('Budget original'!$C$3:$AO$3=F$2),'Budget original'!$C$8:$AO$500)</f>
        <v>211701.06240963854</v>
      </c>
      <c r="G6" s="176">
        <f>+SUMPRODUCT(('Budget révisé'!$A$8:$A$500=$A6)*('Budget révisé'!$C$3:$AO$3=G$2),'Budget révisé'!$C$8:$AO$500)</f>
        <v>145.93734939759034</v>
      </c>
      <c r="H6" s="173">
        <f>IF(G6=0,0,I6/G6)</f>
        <v>1450.6297619047621</v>
      </c>
      <c r="I6" s="173">
        <f>+SUMPRODUCT(('Budget révisé'!$A$8:$A$500=$A6)*('Budget révisé'!$C$3:$AO$3=I$2),'Budget révisé'!$C$8:$AO$500)</f>
        <v>211701.06240963854</v>
      </c>
      <c r="J6" s="176">
        <f>-SUMIFS(BV_Data_An_Cour!$Q:$Q,BV_Data_An_Cour!$V:$V,$B6,BV_Data_An_Cour!$W:$W,$C6,BV_Data_An_Cour!$X:$X,J$2)</f>
        <v>0</v>
      </c>
      <c r="K6" s="173">
        <f>IF(J6=0,0,L6/J6)</f>
        <v>0</v>
      </c>
      <c r="L6" s="548">
        <f>-SUMIFS(BV_Data_An_Cour!$Q:$Q,BV_Data_An_Cour!$V:$V,$B6,BV_Data_An_Cour!$W:$W,$C6,BV_Data_An_Cour!$X:$X,L$2)</f>
        <v>0</v>
      </c>
      <c r="M6" s="176">
        <f t="shared" ref="M6" si="2">J6-G6</f>
        <v>-145.93734939759034</v>
      </c>
      <c r="N6" s="174">
        <f>L6-I6</f>
        <v>-211701.06240963854</v>
      </c>
      <c r="O6" s="1011">
        <f>-SUMIFS(BV_Data_An_Prec!$P:$P,BV_Data_An_Prec!$U:$U,$B6,BV_Data_An_Prec!$V:$V,$C6,BV_Data_An_Prec!$W:$W,O$2)</f>
        <v>229</v>
      </c>
      <c r="P6" s="173">
        <f>IF(O6=0,0,Q6/O6)</f>
        <v>1071.3994759825312</v>
      </c>
      <c r="Q6" s="548">
        <f>-SUMIFS(BV_Data_An_Prec!$P:$P,BV_Data_An_Prec!$U:$U,$B6,BV_Data_An_Prec!$V:$V,$C6,BV_Data_An_Prec!$W:$W,Q$2)</f>
        <v>245350.47999999963</v>
      </c>
      <c r="R6" s="176">
        <f t="shared" ref="R6" si="3">J6-O6</f>
        <v>-229</v>
      </c>
      <c r="S6" s="393">
        <f t="shared" ref="S6" si="4">L6-Q6</f>
        <v>-245350.47999999963</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503.83132530120486</v>
      </c>
      <c r="E7" s="173">
        <f t="shared" ref="E7:E12" si="6">IF(D7=0,0,F7/D7)</f>
        <v>2081.8275862068963</v>
      </c>
      <c r="F7" s="173">
        <f>+SUMPRODUCT(('Budget original'!$A$8:$A$500=$A7)*('Budget original'!$C$3:$AO$3=F$2),'Budget original'!$C$8:$AO$500)</f>
        <v>1048889.9518072288</v>
      </c>
      <c r="G7" s="176">
        <f>+SUMPRODUCT(('Budget révisé'!$A$8:$A$500=$A7)*('Budget révisé'!$C$3:$AO$3=G$2),'Budget révisé'!$C$8:$AO$500)</f>
        <v>503.83132530120486</v>
      </c>
      <c r="H7" s="173">
        <f t="shared" ref="H7:H12" si="7">IF(G7=0,0,I7/G7)</f>
        <v>2081.8275862068963</v>
      </c>
      <c r="I7" s="173">
        <f>+SUMPRODUCT(('Budget révisé'!$A$8:$A$500=$A7)*('Budget révisé'!$C$3:$AO$3=I$2),'Budget révisé'!$C$8:$AO$500)</f>
        <v>1048889.9518072288</v>
      </c>
      <c r="J7" s="176">
        <f>-SUMIFS(BV_Data_An_Cour!$Q:$Q,BV_Data_An_Cour!$V:$V,$B7,BV_Data_An_Cour!$W:$W,$C7,BV_Data_An_Cour!$X:$X,J$2)</f>
        <v>0</v>
      </c>
      <c r="K7" s="173">
        <f t="shared" ref="K7:K12" si="8">IF(J7=0,0,L7/J7)</f>
        <v>0</v>
      </c>
      <c r="L7" s="548">
        <f>-SUMIFS(BV_Data_An_Cour!$Q:$Q,BV_Data_An_Cour!$V:$V,$B7,BV_Data_An_Cour!$W:$W,$C7,BV_Data_An_Cour!$X:$X,L$2)</f>
        <v>0</v>
      </c>
      <c r="M7" s="176">
        <f t="shared" ref="M7:M12" si="9">J7-G7</f>
        <v>-503.83132530120486</v>
      </c>
      <c r="N7" s="174">
        <f t="shared" ref="N7:N12" si="10">L7-I7</f>
        <v>-1048889.9518072288</v>
      </c>
      <c r="O7" s="176">
        <f>-SUMIFS(BV_Data_An_Prec!$P:$P,BV_Data_An_Prec!$U:$U,$B7,BV_Data_An_Prec!$V:$V,$C7,BV_Data_An_Prec!$W:$W,O$2)</f>
        <v>372</v>
      </c>
      <c r="P7" s="173">
        <f t="shared" ref="P7:P12" si="11">IF(O7=0,0,Q7/O7)</f>
        <v>2219.1670161290344</v>
      </c>
      <c r="Q7" s="548">
        <f>-SUMIFS(BV_Data_An_Prec!$P:$P,BV_Data_An_Prec!$U:$U,$B7,BV_Data_An_Prec!$V:$V,$C7,BV_Data_An_Prec!$W:$W,Q$2)</f>
        <v>825530.13000000082</v>
      </c>
      <c r="R7" s="176">
        <f t="shared" ref="R7:R12" si="12">J7-O7</f>
        <v>-372</v>
      </c>
      <c r="S7" s="393">
        <f t="shared" ref="S7:S12" si="13">L7-Q7</f>
        <v>-825530.13000000082</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649.76867469879517</v>
      </c>
      <c r="E13" s="395">
        <f>IF(D13&lt;=0,0,F13/D13)</f>
        <v>1940.0612299465238</v>
      </c>
      <c r="F13" s="396">
        <f>+SUM(F6:F12)</f>
        <v>1260591.0142168673</v>
      </c>
      <c r="G13" s="397">
        <f>+SUM(G6:G12)</f>
        <v>649.76867469879517</v>
      </c>
      <c r="H13" s="395">
        <f>IF(G13&lt;=0,0,I13/G13)</f>
        <v>1940.0612299465238</v>
      </c>
      <c r="I13" s="396">
        <f>+SUM(I6:I12)</f>
        <v>1260591.0142168673</v>
      </c>
      <c r="J13" s="397">
        <f>+SUM(J6:J12)</f>
        <v>0</v>
      </c>
      <c r="K13" s="395">
        <f>IF(J13&lt;=0,0,L13/J13)</f>
        <v>0</v>
      </c>
      <c r="L13" s="396">
        <f>+SUM(L6:L12)</f>
        <v>0</v>
      </c>
      <c r="M13" s="397">
        <f>+SUM(M6:M12)</f>
        <v>-649.76867469879517</v>
      </c>
      <c r="N13" s="396">
        <f>+SUM(N6:N12)</f>
        <v>-1260591.0142168673</v>
      </c>
      <c r="O13" s="397">
        <f>+SUM(O6:O12)</f>
        <v>601</v>
      </c>
      <c r="P13" s="395">
        <f>IF(O13&lt;=0,0,Q13/O13)</f>
        <v>1781.831297836939</v>
      </c>
      <c r="Q13" s="396">
        <f>+SUM(Q6:Q12)</f>
        <v>1070880.6100000003</v>
      </c>
      <c r="R13" s="397">
        <f>+SUM(R6:R12)</f>
        <v>-601</v>
      </c>
      <c r="S13" s="398">
        <f>+SUM(S6:S12)</f>
        <v>-1070880.6100000003</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-1</v>
      </c>
      <c r="N14" s="326">
        <f>IF(I13=0,0,N13/I13)</f>
        <v>-1</v>
      </c>
      <c r="O14" s="297"/>
      <c r="P14" s="173"/>
      <c r="Q14" s="306"/>
      <c r="R14" s="356">
        <f>R13/O13</f>
        <v>-1</v>
      </c>
      <c r="S14" s="327">
        <f>IF(Q13=0,0,(S13/Q13))</f>
        <v>-1</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60.807228915662641</v>
      </c>
      <c r="E15" s="178">
        <f t="shared" ref="E15" si="15">IF(D15=0,0,F15/D15)</f>
        <v>1386.1016187312016</v>
      </c>
      <c r="F15" s="171">
        <f>+SUMPRODUCT(('Budget original'!$A$8:$A$500=$A15)*('Budget original'!$C$3:$AO$3=F$2),'Budget original'!$C$8:$AO$500)</f>
        <v>84284.998430558713</v>
      </c>
      <c r="G15" s="177">
        <f>+SUMPRODUCT(('Budget révisé'!$A$8:$A$500=$A15)*('Budget révisé'!$C$3:$AO$3=G$2),'Budget révisé'!$C$8:$AO$500)</f>
        <v>60.807228915662641</v>
      </c>
      <c r="H15" s="401">
        <f t="shared" ref="H15" si="16">IF(G15=0,0,I15/G15)</f>
        <v>1386.1016187312016</v>
      </c>
      <c r="I15" s="399">
        <f>+SUMPRODUCT(('Budget révisé'!$A$8:$A$500=$A15)*('Budget révisé'!$C$3:$AO$3=I$2),'Budget révisé'!$C$8:$AO$500)</f>
        <v>84284.998430558713</v>
      </c>
      <c r="J15" s="542">
        <f>-SUMIFS(BV_Data_An_Cour!$Q:$Q,BV_Data_An_Cour!$V:$V,$B15,BV_Data_An_Cour!$W:$W,$C15,BV_Data_An_Cour!$X:$X,J$2)</f>
        <v>0</v>
      </c>
      <c r="K15" s="543">
        <f>IF(J15=0,0,L15/J15)</f>
        <v>0</v>
      </c>
      <c r="L15" s="543">
        <f>-SUMIFS(BV_Data_An_Cour!$Q:$Q,BV_Data_An_Cour!$V:$V,$B15,BV_Data_An_Cour!$W:$W,$C15,BV_Data_An_Cour!$X:$X,L$2)</f>
        <v>0</v>
      </c>
      <c r="M15" s="400">
        <f>J15-G15</f>
        <v>-60.807228915662641</v>
      </c>
      <c r="N15" s="399">
        <f>L15-I15</f>
        <v>-84284.998430558713</v>
      </c>
      <c r="O15" s="542">
        <f>-SUMIFS(BV_Data_An_Prec!$P:$P,BV_Data_An_Prec!$U:$U,$B15,BV_Data_An_Prec!$V:$V,$C15,BV_Data_An_Prec!$W:$W,O$2)</f>
        <v>78</v>
      </c>
      <c r="P15" s="543">
        <f>IF(O15=0,0,Q15/O15)</f>
        <v>1345.7253846153856</v>
      </c>
      <c r="Q15" s="543">
        <f>-SUMIFS(BV_Data_An_Prec!$P:$P,BV_Data_An_Prec!$U:$U,$B15,BV_Data_An_Prec!$V:$V,$C15,BV_Data_An_Prec!$W:$W,Q$2)</f>
        <v>104966.58000000007</v>
      </c>
      <c r="R15" s="400">
        <f>J15-O15</f>
        <v>-78</v>
      </c>
      <c r="S15" s="421">
        <f>L15-Q15</f>
        <v>-104966.58000000007</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10.346396965865992</v>
      </c>
      <c r="E17" s="173">
        <f t="shared" ref="E17" si="17">IF(D17=0,0,F17/D17)</f>
        <v>1938.8731623598242</v>
      </c>
      <c r="F17" s="173">
        <f>+SUMPRODUCT(('Budget original'!$A$8:$A$500=$A17)*('Budget original'!$C$3:$AO$3=F$2),'Budget original'!$C$8:$AO$500)</f>
        <v>20060.351404238685</v>
      </c>
      <c r="G17" s="176">
        <f>+SUMPRODUCT(('Budget révisé'!$A$8:$A$500=$A17)*('Budget révisé'!$C$3:$AO$3=G$2),'Budget révisé'!$C$8:$AO$500)</f>
        <v>10.346396965865992</v>
      </c>
      <c r="H17" s="173">
        <f t="shared" ref="H17" si="18">IF(G17=0,0,I17/G17)</f>
        <v>1938.8731623598242</v>
      </c>
      <c r="I17" s="173">
        <f>+SUMPRODUCT(('Budget révisé'!$A$8:$A$500=$A17)*('Budget révisé'!$C$3:$AO$3=I$2),'Budget révisé'!$C$8:$AO$500)</f>
        <v>20060.351404238685</v>
      </c>
      <c r="J17" s="400">
        <f>-SUMIFS(BV_Data_An_Cour!$Q:$Q,BV_Data_An_Cour!$V:$V,$B17,BV_Data_An_Cour!$W:$W,$C17,BV_Data_An_Cour!$X:$X,J$2)</f>
        <v>0</v>
      </c>
      <c r="K17" s="173">
        <f>IF(J17=0,0,L17/J17)</f>
        <v>0</v>
      </c>
      <c r="L17" s="174">
        <f>-SUMIFS(BV_Data_An_Cour!$Q:$Q,BV_Data_An_Cour!$V:$V,$B17,BV_Data_An_Cour!$W:$W,$C17,BV_Data_An_Cour!$X:$X,L$2)</f>
        <v>0</v>
      </c>
      <c r="M17" s="400">
        <f>J17-G17</f>
        <v>-10.346396965865992</v>
      </c>
      <c r="N17" s="174">
        <f>L17-I17</f>
        <v>-20060.351404238685</v>
      </c>
      <c r="O17" s="400">
        <f>-SUMIFS(BV_Data_An_Prec!$P:$P,BV_Data_An_Prec!$U:$U,$B17,BV_Data_An_Prec!$V:$V,$C17,BV_Data_An_Prec!$W:$W,O$2)</f>
        <v>19</v>
      </c>
      <c r="P17" s="173">
        <f>IF(O17=0,0,Q17/O17)</f>
        <v>1735.2200000000028</v>
      </c>
      <c r="Q17" s="174">
        <f>-SUMIFS(BV_Data_An_Prec!$P:$P,BV_Data_An_Prec!$U:$U,$B17,BV_Data_An_Prec!$V:$V,$C17,BV_Data_An_Prec!$W:$W,Q$2)</f>
        <v>32969.180000000051</v>
      </c>
      <c r="R17" s="176">
        <f>J17-O17</f>
        <v>-19</v>
      </c>
      <c r="S17" s="393">
        <f>L17-Q17</f>
        <v>-32969.180000000051</v>
      </c>
      <c r="T17" s="216"/>
      <c r="U17" s="216"/>
      <c r="V17" s="508" t="s">
        <v>3295</v>
      </c>
      <c r="W17" s="508" t="s">
        <v>6</v>
      </c>
      <c r="X17" s="508" t="s">
        <v>3298</v>
      </c>
      <c r="Y17" s="508" t="s">
        <v>3299</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3296</v>
      </c>
      <c r="W18" s="1397">
        <f>+I27+I107</f>
        <v>3370149.1343591115</v>
      </c>
      <c r="X18" s="1397">
        <f>+L27+L107</f>
        <v>0</v>
      </c>
      <c r="Y18" s="1397">
        <f>+X18-W18</f>
        <v>-3370149.1343591115</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61717.61903999999</v>
      </c>
      <c r="G19" s="176">
        <f>+SUMPRODUCT(('Budget révisé'!$A$8:$A$500=$A19)*('Budget révisé'!$C$3:$AO$3=G$2),'Budget révisé'!$C$8:$AO$500)</f>
        <v>0</v>
      </c>
      <c r="H19" s="173">
        <f t="shared" ref="H19" si="20">IF(G19=0,0,I19/G19)</f>
        <v>0</v>
      </c>
      <c r="I19" s="173">
        <f>+SUMPRODUCT(('Budget révisé'!$A$8:$A$500=$A19)*('Budget révisé'!$C$3:$AO$3=I$2),'Budget révisé'!$C$8:$AO$500)</f>
        <v>61717.61903999999</v>
      </c>
      <c r="J19" s="177"/>
      <c r="K19" s="173"/>
      <c r="L19" s="174">
        <f>-SUMIFS(BV_Data_An_Cour!$Q:$Q,BV_Data_An_Cour!$V:$V,$B19,BV_Data_An_Cour!$W:$W,$C19,BV_Data_An_Cour!$X:$X,L$2)</f>
        <v>0</v>
      </c>
      <c r="M19" s="176"/>
      <c r="N19" s="174">
        <f>L19-I19</f>
        <v>-61717.61903999999</v>
      </c>
      <c r="O19" s="177"/>
      <c r="P19" s="173"/>
      <c r="Q19" s="174">
        <f>-SUMIFS(BV_Data_An_Prec!$P:$P,BV_Data_An_Prec!$U:$U,$B19,BV_Data_An_Prec!$V:$V,$C19,BV_Data_An_Prec!$W:$W,Q$2)</f>
        <v>57557.169999999925</v>
      </c>
      <c r="R19" s="176">
        <f>O19-K19</f>
        <v>0</v>
      </c>
      <c r="S19" s="393">
        <f>L19-Q19</f>
        <v>-57557.169999999925</v>
      </c>
      <c r="T19" s="216"/>
      <c r="U19" s="216"/>
      <c r="V19" s="508" t="s">
        <v>3297</v>
      </c>
      <c r="W19" s="1397">
        <f>+I193+I249+I313</f>
        <v>3027957.6351136775</v>
      </c>
      <c r="X19" s="1397">
        <f>+L193+L249+L313</f>
        <v>0</v>
      </c>
      <c r="Y19" s="1397">
        <f>+X19-W19</f>
        <v>-3027957.6351136775</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21263.10484452223</v>
      </c>
      <c r="G21" s="297">
        <f>+SUMPRODUCT(('Budget révisé'!$A$8:$A$500=$A21)*('Budget révisé'!$C$3:$AO$3=G$2),'Budget révisé'!$C$8:$AO$500)</f>
        <v>0</v>
      </c>
      <c r="H21" s="173">
        <f t="shared" ref="H21:H23" si="22">IF(G21=0,0,I21/G21)</f>
        <v>0</v>
      </c>
      <c r="I21" s="173">
        <f>+SUMPRODUCT(('Budget révisé'!$A$8:$A$500=$A21)*('Budget révisé'!$C$3:$AO$3=I$2),'Budget révisé'!$C$8:$AO$500)</f>
        <v>21263.10484452223</v>
      </c>
      <c r="J21" s="176"/>
      <c r="K21" s="173">
        <f>IF(J13=0,0,L21/(J13+J15))</f>
        <v>0</v>
      </c>
      <c r="L21" s="174">
        <f>-SUMIFS(BV_Data_An_Cour!$Q:$Q,BV_Data_An_Cour!$V:$V,$B21,BV_Data_An_Cour!$W:$W,$C21,BV_Data_An_Cour!$X:$X,L$2)</f>
        <v>0</v>
      </c>
      <c r="M21" s="176"/>
      <c r="N21" s="174">
        <f t="shared" ref="N21:N24" si="23">L21-I21</f>
        <v>-21263.10484452223</v>
      </c>
      <c r="O21" s="176"/>
      <c r="P21" s="173">
        <f>IF(O13=0,0,Q21/(O13+O15))</f>
        <v>12.348733431516939</v>
      </c>
      <c r="Q21" s="174">
        <f>-SUMIFS(BV_Data_An_Prec!$P:$P,BV_Data_An_Prec!$U:$U,$B21,BV_Data_An_Prec!$V:$V,$C21,BV_Data_An_Prec!$W:$W,Q$2)</f>
        <v>8384.7900000000009</v>
      </c>
      <c r="R21" s="176">
        <f t="shared" ref="R21:R23" si="24">O21-K21</f>
        <v>0</v>
      </c>
      <c r="S21" s="393">
        <f t="shared" ref="S21:S24" si="25">L21-Q21</f>
        <v>-8384.7900000000009</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568652.1434635598</v>
      </c>
      <c r="G22" s="297">
        <f>+SUMPRODUCT(('Budget révisé'!$A$8:$A$500=$A22)*('Budget révisé'!$C$3:$AO$3=G$2),'Budget révisé'!$C$8:$AO$500)</f>
        <v>0</v>
      </c>
      <c r="H22" s="173">
        <f t="shared" si="22"/>
        <v>0</v>
      </c>
      <c r="I22" s="173">
        <f>+SUMPRODUCT(('Budget révisé'!$A$8:$A$500=$A22)*('Budget révisé'!$C$3:$AO$3=I$2),'Budget révisé'!$C$8:$AO$500)</f>
        <v>568652.1434635598</v>
      </c>
      <c r="J22" s="176"/>
      <c r="K22" s="173">
        <f>IF(J13=0,0,L22/(J13+J15))</f>
        <v>0</v>
      </c>
      <c r="L22" s="174">
        <f>-SUMIFS(BV_Data_An_Cour!$Q:$Q,BV_Data_An_Cour!$V:$V,$B22,BV_Data_An_Cour!$W:$W,$C22,BV_Data_An_Cour!$X:$X,L$2)</f>
        <v>0</v>
      </c>
      <c r="M22" s="176"/>
      <c r="N22" s="174">
        <f t="shared" si="23"/>
        <v>-568652.1434635598</v>
      </c>
      <c r="O22" s="176"/>
      <c r="P22" s="173">
        <f>IF(O13=0,0,Q22/(O13+O15))</f>
        <v>782.91895434462435</v>
      </c>
      <c r="Q22" s="174">
        <f>-SUMIFS(BV_Data_An_Prec!$P:$P,BV_Data_An_Prec!$U:$U,$B22,BV_Data_An_Prec!$V:$V,$C22,BV_Data_An_Prec!$W:$W,Q$2)</f>
        <v>531601.97</v>
      </c>
      <c r="R22" s="176">
        <f t="shared" si="24"/>
        <v>0</v>
      </c>
      <c r="S22" s="393">
        <f t="shared" si="25"/>
        <v>-531601.97</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14074.269764207109</v>
      </c>
      <c r="G23" s="297">
        <f>+SUMPRODUCT(('Budget révisé'!$A$8:$A$500=$A23)*('Budget révisé'!$C$3:$AO$3=G$2),'Budget révisé'!$C$8:$AO$500)</f>
        <v>0</v>
      </c>
      <c r="H23" s="173">
        <f t="shared" si="22"/>
        <v>0</v>
      </c>
      <c r="I23" s="173">
        <f>+SUMPRODUCT(('Budget révisé'!$A$8:$A$500=$A23)*('Budget révisé'!$C$3:$AO$3=I$2),'Budget révisé'!$C$8:$AO$500)</f>
        <v>14074.269764207109</v>
      </c>
      <c r="J23" s="176"/>
      <c r="K23" s="173">
        <f>IF(J13=0,0,L23/(J13+J15))</f>
        <v>0</v>
      </c>
      <c r="L23" s="174">
        <f>-SUMIFS(BV_Data_An_Cour!$Q:$Q,BV_Data_An_Cour!$V:$V,$B23,BV_Data_An_Cour!$W:$W,$C23,BV_Data_An_Cour!$X:$X,L$2)</f>
        <v>0</v>
      </c>
      <c r="M23" s="400"/>
      <c r="N23" s="174">
        <f t="shared" si="23"/>
        <v>-14074.269764207109</v>
      </c>
      <c r="O23" s="176"/>
      <c r="P23" s="173">
        <f>IF(O13=0,0,Q23/(O13+O15))</f>
        <v>20.827658321060383</v>
      </c>
      <c r="Q23" s="174">
        <f>-SUMIFS(BV_Data_An_Prec!$P:$P,BV_Data_An_Prec!$U:$U,$B23,BV_Data_An_Prec!$V:$V,$C23,BV_Data_An_Prec!$W:$W,Q$2)</f>
        <v>14141.98</v>
      </c>
      <c r="R23" s="176">
        <f t="shared" si="24"/>
        <v>0</v>
      </c>
      <c r="S23" s="393">
        <f t="shared" si="25"/>
        <v>-14141.98</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710.57590361445784</v>
      </c>
      <c r="E24" s="395">
        <f>IF(D24&lt;=0,0,F24/D24)</f>
        <v>849.99999999999989</v>
      </c>
      <c r="F24" s="396">
        <f>F21+F22+F23</f>
        <v>603989.51807228907</v>
      </c>
      <c r="G24" s="397">
        <f>+G15+G13</f>
        <v>710.57590361445784</v>
      </c>
      <c r="H24" s="395">
        <f>IF(G24&lt;=0,0,I24/G24)</f>
        <v>849.99999999999989</v>
      </c>
      <c r="I24" s="396">
        <f>I21+I22+I23</f>
        <v>603989.51807228907</v>
      </c>
      <c r="J24" s="397">
        <f>+J15+J13</f>
        <v>0</v>
      </c>
      <c r="K24" s="395">
        <f>IF(J24&lt;=0,0,L24/J24)</f>
        <v>0</v>
      </c>
      <c r="L24" s="396">
        <f>L21+L22+L23</f>
        <v>0</v>
      </c>
      <c r="M24" s="425">
        <f>J24-G24</f>
        <v>-710.57590361445784</v>
      </c>
      <c r="N24" s="396">
        <f t="shared" si="23"/>
        <v>-603989.51807228907</v>
      </c>
      <c r="O24" s="397">
        <f>+O15+O13</f>
        <v>679</v>
      </c>
      <c r="P24" s="395">
        <f>IF(O24&lt;=0,0,Q24/O24)</f>
        <v>816.09534609720174</v>
      </c>
      <c r="Q24" s="396">
        <f>Q21+Q22+Q23</f>
        <v>554128.74</v>
      </c>
      <c r="R24" s="405"/>
      <c r="S24" s="398">
        <f t="shared" si="25"/>
        <v>-554128.74</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720.92230058032385</v>
      </c>
      <c r="E27" s="27">
        <f>IF(D27&lt;=0,0,F27/D27)</f>
        <v>2816.7300408509186</v>
      </c>
      <c r="F27" s="28">
        <f>F13+F17+F24+F19+F15</f>
        <v>2030643.5011639539</v>
      </c>
      <c r="G27" s="29">
        <f>+G13+G15+G17</f>
        <v>720.92230058032385</v>
      </c>
      <c r="H27" s="27">
        <f>IF(G27&lt;=0,0,I27/G27)</f>
        <v>2816.7300408509186</v>
      </c>
      <c r="I27" s="28">
        <f>I13+I17+I24+I19+I15</f>
        <v>2030643.5011639539</v>
      </c>
      <c r="J27" s="29">
        <f>+J13+J15+J17</f>
        <v>0</v>
      </c>
      <c r="K27" s="27">
        <f>IF(J27&lt;=0,0,L27/J27)</f>
        <v>0</v>
      </c>
      <c r="L27" s="28">
        <f>L13+L17+L24+L19+L15</f>
        <v>0</v>
      </c>
      <c r="M27" s="29">
        <f>J27-G27</f>
        <v>-720.92230058032385</v>
      </c>
      <c r="N27" s="28">
        <f>L27-I27</f>
        <v>-2030643.5011639539</v>
      </c>
      <c r="O27" s="29">
        <f>+O13+O15+O17</f>
        <v>698</v>
      </c>
      <c r="P27" s="27">
        <f>IF(O27&lt;=0,0,Q27/O27)</f>
        <v>2608.1694555873933</v>
      </c>
      <c r="Q27" s="28">
        <f>Q13+Q17+Q24+Q19+Q15</f>
        <v>1820502.2800000005</v>
      </c>
      <c r="R27" s="29">
        <f>J27-O27</f>
        <v>-698</v>
      </c>
      <c r="S27" s="357">
        <f>L27-Q27</f>
        <v>-1820502.2800000005</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295"/>
      <c r="E31" s="191">
        <f t="shared" ref="E31:E36" si="26">F31/D$24</f>
        <v>621.3093168625536</v>
      </c>
      <c r="F31" s="173">
        <f>+SUMPRODUCT(('Budget original'!$A$8:$A$500=$A31)*('Budget original'!$C$3:$AO$3=F$2),'Budget original'!$C$8:$AO$500)</f>
        <v>441487.42925369053</v>
      </c>
      <c r="G31" s="296"/>
      <c r="H31" s="191">
        <f t="shared" ref="H31:H36" si="27">I31/G$24</f>
        <v>621.3093168625536</v>
      </c>
      <c r="I31" s="173">
        <f>+SUMPRODUCT(('Budget révisé'!$A$8:$A$500=$A31)*('Budget révisé'!$C$3:$AO$3=I$2),'Budget révisé'!$C$8:$AO$500)</f>
        <v>441487.42925369053</v>
      </c>
      <c r="J31" s="952" t="e">
        <f>L31/(L13+L15+L17)</f>
        <v>#DIV/0!</v>
      </c>
      <c r="K31" s="191">
        <f t="shared" ref="K31:K36" si="28">IF(L31=0,0,L31/J$24)</f>
        <v>0</v>
      </c>
      <c r="L31" s="173">
        <f>SUMIFS(BV_Data_An_Cour!$Q:$Q,BV_Data_An_Cour!$V:$V,$B31,BV_Data_An_Cour!$W:$W,$C31,BV_Data_An_Cour!$X:$X,L$2)</f>
        <v>0</v>
      </c>
      <c r="M31" s="297"/>
      <c r="N31" s="298">
        <f t="shared" ref="N31:N53" si="29">L31-I31</f>
        <v>-441487.42925369053</v>
      </c>
      <c r="O31" s="297"/>
      <c r="P31" s="191">
        <f t="shared" ref="P31:P36" si="30">IF(Q31=0,0,Q31/O$24)</f>
        <v>610.5214285714286</v>
      </c>
      <c r="Q31" s="174">
        <f>SUMIFS(BV_Data_An_Prec!$P:$P,BV_Data_An_Prec!$U:$U,$B31,BV_Data_An_Prec!$V:$V,$C31,BV_Data_An_Prec!$W:$W,Q$2)</f>
        <v>414544.05</v>
      </c>
      <c r="R31" s="297"/>
      <c r="S31" s="193">
        <f t="shared" ref="S31:S41" si="31">L31-Q31</f>
        <v>-414544.05</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301"/>
      <c r="E32" s="407">
        <f t="shared" si="26"/>
        <v>254.99999999999994</v>
      </c>
      <c r="F32" s="171">
        <f>+SUMPRODUCT(('Budget original'!$A$8:$A$500=$A32)*('Budget original'!$C$3:$AO$3=F$2),'Budget original'!$C$8:$AO$500)</f>
        <v>181196.85542168672</v>
      </c>
      <c r="G32" s="303"/>
      <c r="H32" s="184">
        <f t="shared" si="27"/>
        <v>254.99999999999994</v>
      </c>
      <c r="I32" s="171">
        <f>+SUMPRODUCT(('Budget révisé'!$A$8:$A$500=$A32)*('Budget révisé'!$C$3:$AO$3=I$2),'Budget révisé'!$C$8:$AO$500)</f>
        <v>181196.85542168672</v>
      </c>
      <c r="J32" s="953" t="e">
        <f>L32/L24</f>
        <v>#DIV/0!</v>
      </c>
      <c r="K32" s="407">
        <f t="shared" si="28"/>
        <v>0</v>
      </c>
      <c r="L32" s="171">
        <f>SUMIFS(BV_Data_An_Cour!$Q:$Q,BV_Data_An_Cour!$V:$V,$B32,BV_Data_An_Cour!$W:$W,$C32,BV_Data_An_Cour!$X:$X,L$2)</f>
        <v>0</v>
      </c>
      <c r="M32" s="304"/>
      <c r="N32" s="305">
        <f t="shared" si="29"/>
        <v>-181196.85542168672</v>
      </c>
      <c r="O32" s="304"/>
      <c r="P32" s="407">
        <f t="shared" si="30"/>
        <v>245.03172312223859</v>
      </c>
      <c r="Q32" s="171">
        <f>SUMIFS(BV_Data_An_Prec!$P:$P,BV_Data_An_Prec!$U:$U,$B32,BV_Data_An_Prec!$V:$V,$C32,BV_Data_An_Prec!$W:$W,Q$2)</f>
        <v>166376.54</v>
      </c>
      <c r="R32" s="304"/>
      <c r="S32" s="196">
        <f t="shared" si="31"/>
        <v>-166376.54</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167.84930226439229</v>
      </c>
      <c r="F33" s="173">
        <f>+SUMPRODUCT(('Budget original'!$A$8:$A$500=$A33)*('Budget original'!$C$3:$AO$3=F$2),'Budget original'!$C$8:$AO$500)</f>
        <v>119269.66962757682</v>
      </c>
      <c r="G33" s="296"/>
      <c r="H33" s="191">
        <f t="shared" si="27"/>
        <v>167.84930226439229</v>
      </c>
      <c r="I33" s="173">
        <f>+SUMPRODUCT(('Budget révisé'!$A$8:$A$500=$A33)*('Budget révisé'!$C$3:$AO$3=I$2),'Budget révisé'!$C$8:$AO$500)</f>
        <v>119269.66962757682</v>
      </c>
      <c r="J33" s="297"/>
      <c r="K33" s="191">
        <f t="shared" si="28"/>
        <v>0</v>
      </c>
      <c r="L33" s="173">
        <f>SUMIFS(BV_Data_An_Cour!$Q:$Q,BV_Data_An_Cour!$V:$V,$B33,BV_Data_An_Cour!$W:$W,$C33,BV_Data_An_Cour!$X:$X,L$2)</f>
        <v>0</v>
      </c>
      <c r="M33" s="297"/>
      <c r="N33" s="298">
        <f t="shared" si="29"/>
        <v>-119269.66962757682</v>
      </c>
      <c r="O33" s="297"/>
      <c r="P33" s="191">
        <f t="shared" si="30"/>
        <v>152.92599410898379</v>
      </c>
      <c r="Q33" s="174">
        <f>SUMIFS(BV_Data_An_Prec!$P:$P,BV_Data_An_Prec!$U:$U,$B33,BV_Data_An_Prec!$V:$V,$C33,BV_Data_An_Prec!$W:$W,Q$2)</f>
        <v>103836.75</v>
      </c>
      <c r="R33" s="297"/>
      <c r="S33" s="193">
        <f t="shared" si="31"/>
        <v>-103836.75</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7.3548076275245773</v>
      </c>
      <c r="F34" s="173">
        <f>+SUMPRODUCT(('Budget original'!$A$8:$A$500=$A34)*('Budget original'!$C$3:$AO$3=F$2),'Budget original'!$C$8:$AO$500)</f>
        <v>5226.1490758387836</v>
      </c>
      <c r="G34" s="296"/>
      <c r="H34" s="191">
        <f t="shared" si="27"/>
        <v>7.3548076275245773</v>
      </c>
      <c r="I34" s="173">
        <f>+SUMPRODUCT(('Budget révisé'!$A$8:$A$500=$A34)*('Budget révisé'!$C$3:$AO$3=I$2),'Budget révisé'!$C$8:$AO$500)</f>
        <v>5226.1490758387836</v>
      </c>
      <c r="J34" s="297"/>
      <c r="K34" s="191">
        <f t="shared" si="28"/>
        <v>0</v>
      </c>
      <c r="L34" s="173">
        <f>SUMIFS(BV_Data_An_Cour!$Q:$Q,BV_Data_An_Cour!$V:$V,$B34,BV_Data_An_Cour!$W:$W,$C34,BV_Data_An_Cour!$X:$X,L$2)</f>
        <v>0</v>
      </c>
      <c r="M34" s="297"/>
      <c r="N34" s="298">
        <f t="shared" si="29"/>
        <v>-5226.1490758387836</v>
      </c>
      <c r="O34" s="297"/>
      <c r="P34" s="191">
        <f t="shared" si="30"/>
        <v>9.3146980854197352</v>
      </c>
      <c r="Q34" s="174">
        <f>SUMIFS(BV_Data_An_Prec!$P:$P,BV_Data_An_Prec!$U:$U,$B34,BV_Data_An_Prec!$V:$V,$C34,BV_Data_An_Prec!$W:$W,Q$2)</f>
        <v>6324.68</v>
      </c>
      <c r="R34" s="297"/>
      <c r="S34" s="193">
        <f t="shared" si="31"/>
        <v>-6324.68</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17.733118212476484</v>
      </c>
      <c r="F35" s="171">
        <f>+SUMPRODUCT(('Budget original'!$A$8:$A$500=$A35)*('Budget original'!$C$3:$AO$3=F$2),'Budget original'!$C$8:$AO$500)</f>
        <v>12600.726497732478</v>
      </c>
      <c r="G35" s="303"/>
      <c r="H35" s="184">
        <f t="shared" si="27"/>
        <v>17.733118212476484</v>
      </c>
      <c r="I35" s="171">
        <f>+SUMPRODUCT(('Budget révisé'!$A$8:$A$500=$A35)*('Budget révisé'!$C$3:$AO$3=I$2),'Budget révisé'!$C$8:$AO$500)</f>
        <v>12600.726497732478</v>
      </c>
      <c r="J35" s="304"/>
      <c r="K35" s="407">
        <f t="shared" si="28"/>
        <v>0</v>
      </c>
      <c r="L35" s="171">
        <f>SUMIFS(BV_Data_An_Cour!$Q:$Q,BV_Data_An_Cour!$V:$V,$B35,BV_Data_An_Cour!$W:$W,$C35,BV_Data_An_Cour!$X:$X,L$2)</f>
        <v>0</v>
      </c>
      <c r="M35" s="304"/>
      <c r="N35" s="305">
        <f t="shared" si="29"/>
        <v>-12600.726497732478</v>
      </c>
      <c r="O35" s="304"/>
      <c r="P35" s="407">
        <f t="shared" si="30"/>
        <v>14.943976435935198</v>
      </c>
      <c r="Q35" s="174">
        <f>SUMIFS(BV_Data_An_Prec!$P:$P,BV_Data_An_Prec!$U:$U,$B35,BV_Data_An_Prec!$V:$V,$C35,BV_Data_An_Prec!$W:$W,Q$2)</f>
        <v>10146.959999999999</v>
      </c>
      <c r="R35" s="304"/>
      <c r="S35" s="196">
        <f t="shared" si="31"/>
        <v>-10146.959999999999</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195.93765281173592</v>
      </c>
      <c r="F36" s="173">
        <f>+SUMPRODUCT(('Budget original'!$A$8:$A$500=$A36)*('Budget original'!$C$3:$AO$3=F$2),'Budget original'!$C$8:$AO$500)</f>
        <v>139228.57469879516</v>
      </c>
      <c r="G36" s="296"/>
      <c r="H36" s="191">
        <f t="shared" si="27"/>
        <v>195.93765281173592</v>
      </c>
      <c r="I36" s="173">
        <f>+SUMPRODUCT(('Budget révisé'!$A$8:$A$500=$A36)*('Budget révisé'!$C$3:$AO$3=I$2),'Budget révisé'!$C$8:$AO$500)</f>
        <v>139228.57469879516</v>
      </c>
      <c r="J36" s="297"/>
      <c r="K36" s="191">
        <f t="shared" si="28"/>
        <v>0</v>
      </c>
      <c r="L36" s="623">
        <f>SUMIFS(BV_Data_An_Cour!$Q:$Q,BV_Data_An_Cour!$V:$V,$B36,BV_Data_An_Cour!$W:$W,$C36,BV_Data_An_Cour!$X:$X,L$2)</f>
        <v>0</v>
      </c>
      <c r="M36" s="172"/>
      <c r="N36" s="298">
        <f t="shared" si="29"/>
        <v>-139228.57469879516</v>
      </c>
      <c r="O36" s="297"/>
      <c r="P36" s="191">
        <f t="shared" si="30"/>
        <v>150.44645066273935</v>
      </c>
      <c r="Q36" s="423">
        <f>SUMIFS(BV_Data_An_Prec!$P:$P,BV_Data_An_Prec!$U:$U,$B36,BV_Data_An_Prec!$V:$V,$C36,BV_Data_An_Prec!$W:$W,Q$2)</f>
        <v>102153.14000000001</v>
      </c>
      <c r="R36" s="297"/>
      <c r="S36" s="193">
        <f t="shared" si="31"/>
        <v>-102153.14000000001</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103.02707054687129</v>
      </c>
      <c r="F37" s="173">
        <f>+SUMPRODUCT(('Budget original'!$A$8:$A$500=$A37)*('Budget original'!$C$3:$AO$3=F$2),'Budget original'!$C$8:$AO$500)</f>
        <v>73208.553750593564</v>
      </c>
      <c r="G37" s="296"/>
      <c r="H37" s="191">
        <f t="shared" ref="H37:H40" si="34">I37/G$24</f>
        <v>103.02707054687129</v>
      </c>
      <c r="I37" s="173">
        <f>+SUMPRODUCT(('Budget révisé'!$A$8:$A$500=$A37)*('Budget révisé'!$C$3:$AO$3=I$2),'Budget révisé'!$C$8:$AO$500)</f>
        <v>73208.553750593564</v>
      </c>
      <c r="J37" s="297"/>
      <c r="K37" s="191">
        <f t="shared" ref="K37:K40" si="35">IF(L37=0,0,L37/J$24)</f>
        <v>0</v>
      </c>
      <c r="L37" s="624">
        <f>SUMIFS(BV_Data_An_Cour!$Q:$Q,BV_Data_An_Cour!$V:$V,$B37,BV_Data_An_Cour!$W:$W,$C37,BV_Data_An_Cour!$X:$X,L$2)</f>
        <v>0</v>
      </c>
      <c r="M37" s="172"/>
      <c r="N37" s="298">
        <f t="shared" ref="N37:N40" si="36">L37-I37</f>
        <v>-73208.553750593564</v>
      </c>
      <c r="O37" s="297"/>
      <c r="P37" s="191">
        <f t="shared" ref="P37:P40" si="37">IF(Q37=0,0,Q37/O$24)</f>
        <v>192.77038291605302</v>
      </c>
      <c r="Q37" s="174">
        <f>SUMIFS(BV_Data_An_Prec!$P:$P,BV_Data_An_Prec!$U:$U,$B37,BV_Data_An_Prec!$V:$V,$C37,BV_Data_An_Prec!$W:$W,Q$2)</f>
        <v>130891.09</v>
      </c>
      <c r="R37" s="297"/>
      <c r="S37" s="193">
        <f t="shared" ref="S37:S40" si="38">L37-Q37</f>
        <v>-130891.09</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0.47877333356083618</v>
      </c>
      <c r="F41" s="41">
        <f>SUM(F31:F40)</f>
        <v>972217.95832591399</v>
      </c>
      <c r="G41" s="42" t="s">
        <v>111</v>
      </c>
      <c r="H41" s="40">
        <f>I41/I$27</f>
        <v>0.47877333356083618</v>
      </c>
      <c r="I41" s="41">
        <f>SUM(I31:I40)</f>
        <v>972217.95832591399</v>
      </c>
      <c r="J41" s="42" t="s">
        <v>111</v>
      </c>
      <c r="K41" s="40" t="e">
        <f>L41/L$27</f>
        <v>#DIV/0!</v>
      </c>
      <c r="L41" s="41">
        <f>SUM(L31:L40)</f>
        <v>0</v>
      </c>
      <c r="M41" s="577"/>
      <c r="N41" s="41">
        <f t="shared" si="29"/>
        <v>-972217.95832591399</v>
      </c>
      <c r="O41" s="42" t="s">
        <v>111</v>
      </c>
      <c r="P41" s="40">
        <f>Q41/Q$27</f>
        <v>0.51319529794821228</v>
      </c>
      <c r="Q41" s="576">
        <f>SUM(Q31:Q40)</f>
        <v>934273.21</v>
      </c>
      <c r="R41" s="44"/>
      <c r="S41" s="310">
        <f t="shared" si="31"/>
        <v>-934273.21</v>
      </c>
      <c r="T41" s="216"/>
      <c r="U41" s="1082" t="e">
        <f>H41/K41</f>
        <v>#DIV/0!</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156754.50114942531</v>
      </c>
      <c r="G42" s="297"/>
      <c r="H42" s="172"/>
      <c r="I42" s="173">
        <f>+SUMPRODUCT(('Budget révisé'!$A$8:$A$500=$A42)*('Budget révisé'!$C$3:$AO$3=I$2),'Budget révisé'!$C$8:$AO$500)</f>
        <v>156754.50114942531</v>
      </c>
      <c r="J42" s="297"/>
      <c r="K42" s="172"/>
      <c r="L42" s="275">
        <f>SUMIFS(BV_Data_An_Cour!$Q:$Q,BV_Data_An_Cour!$V:$V,$B42,BV_Data_An_Cour!$W:$W,$C42,BV_Data_An_Cour!$X:$X,L$2)</f>
        <v>0</v>
      </c>
      <c r="M42" s="297"/>
      <c r="N42" s="298">
        <f t="shared" si="29"/>
        <v>-156754.50114942531</v>
      </c>
      <c r="O42" s="297"/>
      <c r="P42" s="172"/>
      <c r="Q42" s="174">
        <f>SUMIFS(BV_Data_An_Prec!$P:$P,BV_Data_An_Prec!$U:$U,$B42,BV_Data_An_Prec!$V:$V,$C42,BV_Data_An_Prec!$W:$W,Q$2)</f>
        <v>185766.57</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96476.590901793112</v>
      </c>
      <c r="G43" s="296"/>
      <c r="H43" s="172"/>
      <c r="I43" s="171">
        <f>+SUMPRODUCT(('Budget révisé'!$A$8:$A$500=$A43)*('Budget révisé'!$C$3:$AO$3=I$2),'Budget révisé'!$C$8:$AO$500)</f>
        <v>96476.590901793112</v>
      </c>
      <c r="J43" s="297"/>
      <c r="K43" s="1080"/>
      <c r="L43" s="275">
        <f>SUMIFS(BV_Data_An_Cour!$Q:$Q,BV_Data_An_Cour!$V:$V,$B43,BV_Data_An_Cour!$W:$W,$C43,BV_Data_An_Cour!$X:$X,L$2)</f>
        <v>0</v>
      </c>
      <c r="M43" s="297"/>
      <c r="N43" s="298">
        <f t="shared" si="29"/>
        <v>-96476.590901793112</v>
      </c>
      <c r="O43" s="297"/>
      <c r="P43" s="172"/>
      <c r="Q43" s="174">
        <f>SUMIFS(BV_Data_An_Prec!$P:$P,BV_Data_An_Prec!$U:$U,$B43,BV_Data_An_Prec!$V:$V,$C43,BV_Data_An_Prec!$W:$W,Q$2)</f>
        <v>87140.15</v>
      </c>
      <c r="R43" s="297"/>
      <c r="S43" s="193">
        <f t="shared" ref="S43:S53" si="39">L43-Q43</f>
        <v>-87140.15</v>
      </c>
      <c r="T43" s="216"/>
      <c r="U43" s="1081"/>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87591.948572689638</v>
      </c>
      <c r="G44" s="387"/>
      <c r="H44" s="346"/>
      <c r="I44" s="173">
        <f>+SUMPRODUCT(('Budget révisé'!$A$8:$A$500=$A44)*('Budget révisé'!$C$3:$AO$3=I$2),'Budget révisé'!$C$8:$AO$500)</f>
        <v>87591.948572689638</v>
      </c>
      <c r="J44" s="362"/>
      <c r="K44" s="346"/>
      <c r="L44" s="175">
        <f>SUMIFS(BV_Data_An_Cour!$Q:$Q,BV_Data_An_Cour!$V:$V,$B44,BV_Data_An_Cour!$W:$W,$C44,BV_Data_An_Cour!$X:$X,L$2)</f>
        <v>0</v>
      </c>
      <c r="M44" s="362"/>
      <c r="N44" s="350">
        <f t="shared" si="29"/>
        <v>-87591.948572689638</v>
      </c>
      <c r="O44" s="362"/>
      <c r="P44" s="346"/>
      <c r="Q44" s="175">
        <f>SUMIFS(BV_Data_An_Prec!$P:$P,BV_Data_An_Prec!$U:$U,$B44,BV_Data_An_Prec!$V:$V,$C44,BV_Data_An_Prec!$W:$W,Q$2)</f>
        <v>84812.87</v>
      </c>
      <c r="R44" s="362"/>
      <c r="S44" s="195">
        <f t="shared" si="39"/>
        <v>-84812.87</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117583.1882163688</v>
      </c>
      <c r="G49" s="296"/>
      <c r="H49" s="172"/>
      <c r="I49" s="171">
        <f>+SUMPRODUCT(('Budget révisé'!$A$8:$A$500=$A49)*('Budget révisé'!$C$3:$AO$3=I$2),'Budget révisé'!$C$8:$AO$500)</f>
        <v>117583.1882163688</v>
      </c>
      <c r="J49" s="297"/>
      <c r="K49" s="172"/>
      <c r="L49" s="171">
        <f>SUMIFS(BV_Data_An_Cour!$Q:$Q,BV_Data_An_Cour!$V:$V,$B49,BV_Data_An_Cour!$W:$W,$C49,BV_Data_An_Cour!$X:$X,L$2)</f>
        <v>0</v>
      </c>
      <c r="M49" s="297"/>
      <c r="N49" s="298">
        <f t="shared" si="29"/>
        <v>-117583.1882163688</v>
      </c>
      <c r="O49" s="297"/>
      <c r="P49" s="172"/>
      <c r="Q49" s="171">
        <f>SUMIFS(BV_Data_An_Prec!$P:$P,BV_Data_An_Prec!$U:$U,$B49,BV_Data_An_Prec!$V:$V,$C49,BV_Data_An_Prec!$W:$W,Q$2)</f>
        <v>135444</v>
      </c>
      <c r="R49" s="297"/>
      <c r="S49" s="193">
        <f t="shared" si="39"/>
        <v>-135444</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105307.7979982071</v>
      </c>
      <c r="G50" s="387"/>
      <c r="H50" s="346"/>
      <c r="I50" s="173">
        <f>+SUMPRODUCT(('Budget révisé'!$A$8:$A$500=$A50)*('Budget révisé'!$C$3:$AO$3=I$2),'Budget révisé'!$C$8:$AO$500)</f>
        <v>105307.7979982071</v>
      </c>
      <c r="J50" s="362"/>
      <c r="K50" s="346"/>
      <c r="L50" s="174">
        <f>SUMIFS(BV_Data_An_Cour!$Q:$Q,BV_Data_An_Cour!$V:$V,$B50,BV_Data_An_Cour!$W:$W,$C50,BV_Data_An_Cour!$X:$X,L$2)</f>
        <v>0</v>
      </c>
      <c r="M50" s="362"/>
      <c r="N50" s="350">
        <f t="shared" si="29"/>
        <v>-105307.7979982071</v>
      </c>
      <c r="O50" s="362"/>
      <c r="P50" s="346"/>
      <c r="Q50" s="174">
        <f>SUMIFS(BV_Data_An_Prec!$P:$P,BV_Data_An_Prec!$U:$U,$B50,BV_Data_An_Prec!$V:$V,$C50,BV_Data_An_Prec!$W:$W,Q$2)</f>
        <v>106211.81</v>
      </c>
      <c r="R50" s="362"/>
      <c r="S50" s="195">
        <f t="shared" si="39"/>
        <v>-106211.81</v>
      </c>
      <c r="T50" s="216"/>
      <c r="U50" s="955">
        <f>L50-Print_Mois!L50</f>
        <v>0</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83626.780763282106</v>
      </c>
      <c r="G51" s="296"/>
      <c r="H51" s="172"/>
      <c r="I51" s="173">
        <f>+SUMPRODUCT(('Budget révisé'!$A$8:$A$500=$A51)*('Budget révisé'!$C$3:$AO$3=I$2),'Budget révisé'!$C$8:$AO$500)</f>
        <v>83626.780763282106</v>
      </c>
      <c r="J51" s="297"/>
      <c r="K51" s="172"/>
      <c r="L51" s="174">
        <f>SUMIFS(BV_Data_An_Cour!$Q:$Q,BV_Data_An_Cour!$V:$V,$B51,BV_Data_An_Cour!$W:$W,$C51,BV_Data_An_Cour!$X:$X,L$2)</f>
        <v>0</v>
      </c>
      <c r="M51" s="297"/>
      <c r="N51" s="298">
        <f t="shared" si="29"/>
        <v>-83626.780763282106</v>
      </c>
      <c r="O51" s="297"/>
      <c r="P51" s="172"/>
      <c r="Q51" s="174">
        <f>SUMIFS(BV_Data_An_Prec!$P:$P,BV_Data_An_Prec!$U:$U,$B51,BV_Data_An_Prec!$V:$V,$C51,BV_Data_An_Prec!$W:$W,Q$2)</f>
        <v>76118.45</v>
      </c>
      <c r="R51" s="297"/>
      <c r="S51" s="193">
        <f t="shared" si="39"/>
        <v>-76118.45</v>
      </c>
      <c r="T51" s="216"/>
      <c r="U51" s="955">
        <f>L51-Print_Mois!L51</f>
        <v>0</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34070.16994059641</v>
      </c>
      <c r="G52" s="296"/>
      <c r="H52" s="172"/>
      <c r="I52" s="173">
        <f>+SUMPRODUCT(('Budget révisé'!$A$8:$A$500=$A52)*('Budget révisé'!$C$3:$AO$3=I$2),'Budget révisé'!$C$8:$AO$500)</f>
        <v>34070.16994059641</v>
      </c>
      <c r="J52" s="297"/>
      <c r="K52" s="172"/>
      <c r="L52" s="174">
        <f>SUMIFS(BV_Data_An_Cour!$Q:$Q,BV_Data_An_Cour!$V:$V,$B52,BV_Data_An_Cour!$W:$W,$C52,BV_Data_An_Cour!$X:$X,L$2)</f>
        <v>0</v>
      </c>
      <c r="M52" s="297"/>
      <c r="N52" s="298">
        <f t="shared" si="29"/>
        <v>-34070.16994059641</v>
      </c>
      <c r="O52" s="297"/>
      <c r="P52" s="172"/>
      <c r="Q52" s="174">
        <f>SUMIFS(BV_Data_An_Prec!$P:$P,BV_Data_An_Prec!$U:$U,$B52,BV_Data_An_Prec!$V:$V,$C52,BV_Data_An_Prec!$W:$W,Q$2)</f>
        <v>26701.98</v>
      </c>
      <c r="R52" s="297"/>
      <c r="S52" s="193">
        <f t="shared" si="39"/>
        <v>-26701.98</v>
      </c>
      <c r="T52" s="216"/>
      <c r="U52" s="955">
        <f>L52-Print_Mois!L52</f>
        <v>0</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0.33556405994049737</v>
      </c>
      <c r="F54" s="41">
        <f>+SUM(F42:F53)</f>
        <v>681410.97754236253</v>
      </c>
      <c r="G54" s="42" t="s">
        <v>111</v>
      </c>
      <c r="H54" s="40">
        <f>I54/I$27</f>
        <v>0.33556405994049737</v>
      </c>
      <c r="I54" s="41">
        <f>+SUM(I42:I53)</f>
        <v>681410.97754236253</v>
      </c>
      <c r="J54" s="42" t="s">
        <v>111</v>
      </c>
      <c r="K54" s="40" t="e">
        <f>L54/L$27</f>
        <v>#DIV/0!</v>
      </c>
      <c r="L54" s="41">
        <f>+SUM(L42:L53)</f>
        <v>0</v>
      </c>
      <c r="M54" s="44"/>
      <c r="N54" s="41">
        <f>+SUM(N42:N53)</f>
        <v>-681410.97754236253</v>
      </c>
      <c r="O54" s="42" t="s">
        <v>111</v>
      </c>
      <c r="P54" s="40">
        <f>Q54/Q$27</f>
        <v>0.38571543563241217</v>
      </c>
      <c r="Q54" s="41">
        <f>+SUM(Q42:Q53)</f>
        <v>702195.82999999984</v>
      </c>
      <c r="R54" s="44"/>
      <c r="S54" s="310">
        <f>+SUM(S42:S53)</f>
        <v>-516429.26</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73229.400000000009</v>
      </c>
      <c r="G57" s="303"/>
      <c r="H57" s="302"/>
      <c r="I57" s="171">
        <f>+SUMPRODUCT(('Budget révisé'!$A$8:$A$500=$A57)*('Budget révisé'!$C$3:$AO$3=I$2),'Budget révisé'!$C$8:$AO$500)</f>
        <v>73229.400000000009</v>
      </c>
      <c r="J57" s="304"/>
      <c r="K57" s="302"/>
      <c r="L57" s="171">
        <f>SUMIFS(BV_Data_An_Cour!$Q:$Q,BV_Data_An_Cour!$V:$V,$B57,BV_Data_An_Cour!$W:$W,$C57,BV_Data_An_Cour!$X:$X,L$2)</f>
        <v>0</v>
      </c>
      <c r="M57" s="304"/>
      <c r="N57" s="428">
        <f t="shared" si="43"/>
        <v>-73229.400000000009</v>
      </c>
      <c r="O57" s="304"/>
      <c r="P57" s="302"/>
      <c r="Q57" s="171">
        <f>SUMIFS(BV_Data_An_Prec!$P:$P,BV_Data_An_Prec!$U:$U,$B57,BV_Data_An_Prec!$V:$V,$C57,BV_Data_An_Prec!$W:$W,Q$2)</f>
        <v>67956.990000000005</v>
      </c>
      <c r="R57" s="304"/>
      <c r="S57" s="196">
        <f t="shared" si="44"/>
        <v>-67956.990000000005</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68341.947433333335</v>
      </c>
      <c r="G58" s="296"/>
      <c r="H58" s="172"/>
      <c r="I58" s="173">
        <f>+SUMPRODUCT(('Budget révisé'!$A$8:$A$500=$A58)*('Budget révisé'!$C$3:$AO$3=I$2),'Budget révisé'!$C$8:$AO$500)</f>
        <v>68341.947433333335</v>
      </c>
      <c r="J58" s="297"/>
      <c r="K58" s="172"/>
      <c r="L58" s="174">
        <f>SUMIFS(BV_Data_An_Cour!$Q:$Q,BV_Data_An_Cour!$V:$V,$B58,BV_Data_An_Cour!$W:$W,$C58,BV_Data_An_Cour!$X:$X,L$2)</f>
        <v>0</v>
      </c>
      <c r="M58" s="297"/>
      <c r="N58" s="298">
        <f t="shared" si="43"/>
        <v>-68341.947433333335</v>
      </c>
      <c r="O58" s="297"/>
      <c r="P58" s="172"/>
      <c r="Q58" s="174">
        <f>SUMIFS(BV_Data_An_Prec!$P:$P,BV_Data_An_Prec!$U:$U,$B58,BV_Data_An_Prec!$V:$V,$C58,BV_Data_An_Prec!$W:$W,Q$2)</f>
        <v>55257.73</v>
      </c>
      <c r="R58" s="297"/>
      <c r="S58" s="193">
        <f t="shared" si="44"/>
        <v>-55257.73</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7921.4180000000024</v>
      </c>
      <c r="G59" s="296"/>
      <c r="H59" s="172"/>
      <c r="I59" s="173">
        <f>+SUMPRODUCT(('Budget révisé'!$A$8:$A$500=$A59)*('Budget révisé'!$C$3:$AO$3=I$2),'Budget révisé'!$C$8:$AO$500)</f>
        <v>7921.4180000000024</v>
      </c>
      <c r="J59" s="297"/>
      <c r="K59" s="172"/>
      <c r="L59" s="174">
        <f>SUMIFS(BV_Data_An_Cour!$Q:$Q,BV_Data_An_Cour!$V:$V,$B59,BV_Data_An_Cour!$W:$W,$C59,BV_Data_An_Cour!$X:$X,L$2)</f>
        <v>0</v>
      </c>
      <c r="M59" s="297"/>
      <c r="N59" s="298">
        <f t="shared" si="43"/>
        <v>-7921.4180000000024</v>
      </c>
      <c r="O59" s="297"/>
      <c r="P59" s="172"/>
      <c r="Q59" s="174">
        <f>SUMIFS(BV_Data_An_Prec!$P:$P,BV_Data_An_Prec!$U:$U,$B59,BV_Data_An_Prec!$V:$V,$C59,BV_Data_An_Prec!$W:$W,Q$2)</f>
        <v>5666.38</v>
      </c>
      <c r="R59" s="297"/>
      <c r="S59" s="193">
        <f t="shared" si="44"/>
        <v>-5666.38</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66114.040177777773</v>
      </c>
      <c r="G60" s="303"/>
      <c r="H60" s="302"/>
      <c r="I60" s="171">
        <f>+SUMPRODUCT(('Budget révisé'!$A$8:$A$500=$A60)*('Budget révisé'!$C$3:$AO$3=I$2),'Budget révisé'!$C$8:$AO$500)</f>
        <v>66114.040177777773</v>
      </c>
      <c r="J60" s="304"/>
      <c r="K60" s="302"/>
      <c r="L60" s="171">
        <f>SUMIFS(BV_Data_An_Cour!$Q:$Q,BV_Data_An_Cour!$V:$V,$B60,BV_Data_An_Cour!$W:$W,$C60,BV_Data_An_Cour!$X:$X,L$2)</f>
        <v>0</v>
      </c>
      <c r="M60" s="304"/>
      <c r="N60" s="305">
        <f t="shared" si="43"/>
        <v>-66114.040177777773</v>
      </c>
      <c r="O60" s="304"/>
      <c r="P60" s="302"/>
      <c r="Q60" s="171">
        <f>SUMIFS(BV_Data_An_Prec!$P:$P,BV_Data_An_Prec!$U:$U,$B60,BV_Data_An_Prec!$V:$V,$C60,BV_Data_An_Prec!$W:$W,Q$2)</f>
        <v>69982.17</v>
      </c>
      <c r="R60" s="304"/>
      <c r="S60" s="196">
        <f t="shared" si="44"/>
        <v>-69982.17</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855.71216443970923</v>
      </c>
      <c r="G61" s="296"/>
      <c r="H61" s="172"/>
      <c r="I61" s="173">
        <f>+SUMPRODUCT(('Budget révisé'!$A$8:$A$500=$A61)*('Budget révisé'!$C$3:$AO$3=I$2),'Budget révisé'!$C$8:$AO$500)</f>
        <v>855.71216443970923</v>
      </c>
      <c r="J61" s="297"/>
      <c r="K61" s="172"/>
      <c r="L61" s="174">
        <f>SUMIFS(BV_Data_An_Cour!$Q:$Q,BV_Data_An_Cour!$V:$V,$B61,BV_Data_An_Cour!$W:$W,$C61,BV_Data_An_Cour!$X:$X,L$2)</f>
        <v>0</v>
      </c>
      <c r="M61" s="297"/>
      <c r="N61" s="298">
        <f t="shared" si="43"/>
        <v>-855.71216443970923</v>
      </c>
      <c r="O61" s="297"/>
      <c r="P61" s="172"/>
      <c r="Q61" s="174">
        <f>SUMIFS(BV_Data_An_Prec!$P:$P,BV_Data_An_Prec!$U:$U,$B61,BV_Data_An_Prec!$V:$V,$C61,BV_Data_An_Prec!$W:$W,Q$2)</f>
        <v>874.72</v>
      </c>
      <c r="R61" s="297"/>
      <c r="S61" s="193">
        <f t="shared" si="44"/>
        <v>-874.72</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454.7029494085304</v>
      </c>
      <c r="G62" s="296"/>
      <c r="H62" s="172"/>
      <c r="I62" s="173">
        <f>+SUMPRODUCT(('Budget révisé'!$A$8:$A$500=$A62)*('Budget révisé'!$C$3:$AO$3=I$2),'Budget révisé'!$C$8:$AO$500)</f>
        <v>454.7029494085304</v>
      </c>
      <c r="J62" s="297"/>
      <c r="K62" s="172"/>
      <c r="L62" s="174">
        <f>SUMIFS(BV_Data_An_Cour!$Q:$Q,BV_Data_An_Cour!$V:$V,$B62,BV_Data_An_Cour!$W:$W,$C62,BV_Data_An_Cour!$X:$X,L$2)</f>
        <v>0</v>
      </c>
      <c r="M62" s="297"/>
      <c r="N62" s="298">
        <f t="shared" si="43"/>
        <v>-454.7029494085304</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6528.6431999999995</v>
      </c>
      <c r="G63" s="296"/>
      <c r="H63" s="172"/>
      <c r="I63" s="173">
        <f>+SUMPRODUCT(('Budget révisé'!$A$8:$A$500=$A63)*('Budget révisé'!$C$3:$AO$3=I$2),'Budget révisé'!$C$8:$AO$500)</f>
        <v>6528.6431999999995</v>
      </c>
      <c r="J63" s="297"/>
      <c r="K63" s="172"/>
      <c r="L63" s="548">
        <f>SUMIFS(BV_Data_An_Cour!$Q:$Q,BV_Data_An_Cour!$V:$V,$B63,BV_Data_An_Cour!$W:$W,$C63,BV_Data_An_Cour!$X:$X,L$2)</f>
        <v>0</v>
      </c>
      <c r="M63" s="297"/>
      <c r="N63" s="298">
        <f t="shared" si="43"/>
        <v>-6528.6431999999995</v>
      </c>
      <c r="O63" s="297"/>
      <c r="P63" s="172"/>
      <c r="Q63" s="548">
        <f>SUMIFS(BV_Data_An_Prec!$P:$P,BV_Data_An_Prec!$U:$U,$B63,BV_Data_An_Prec!$V:$V,$C63,BV_Data_An_Prec!$W:$W,Q$2)</f>
        <v>5668.68</v>
      </c>
      <c r="R63" s="297"/>
      <c r="S63" s="193">
        <f t="shared" si="44"/>
        <v>-5668.68</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3014.6452666666669</v>
      </c>
      <c r="G64" s="296"/>
      <c r="H64" s="172"/>
      <c r="I64" s="173">
        <f>+SUMPRODUCT(('Budget révisé'!$A$8:$A$500=$A64)*('Budget révisé'!$C$3:$AO$3=I$2),'Budget révisé'!$C$8:$AO$500)</f>
        <v>3014.6452666666669</v>
      </c>
      <c r="J64" s="297"/>
      <c r="K64" s="172"/>
      <c r="L64" s="174">
        <f>SUMIFS(BV_Data_An_Cour!$Q:$Q,BV_Data_An_Cour!$V:$V,$B64,BV_Data_An_Cour!$W:$W,$C64,BV_Data_An_Cour!$X:$X,L$2)</f>
        <v>0</v>
      </c>
      <c r="M64" s="297"/>
      <c r="N64" s="298">
        <f t="shared" si="43"/>
        <v>-3014.6452666666669</v>
      </c>
      <c r="O64" s="297"/>
      <c r="P64" s="172"/>
      <c r="Q64" s="174">
        <f>SUMIFS(BV_Data_An_Prec!$P:$P,BV_Data_An_Prec!$U:$U,$B64,BV_Data_An_Prec!$V:$V,$C64,BV_Data_An_Prec!$W:$W,Q$2)</f>
        <v>2974.4</v>
      </c>
      <c r="R64" s="297"/>
      <c r="S64" s="193">
        <f t="shared" si="44"/>
        <v>-2974.4</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1609.1707333333329</v>
      </c>
      <c r="G65" s="296"/>
      <c r="H65" s="172"/>
      <c r="I65" s="173">
        <f>+SUMPRODUCT(('Budget révisé'!$A$8:$A$500=$A65)*('Budget révisé'!$C$3:$AO$3=I$2),'Budget révisé'!$C$8:$AO$500)</f>
        <v>1609.1707333333329</v>
      </c>
      <c r="J65" s="297"/>
      <c r="K65" s="172"/>
      <c r="L65" s="275">
        <f>SUMIFS(BV_Data_An_Cour!$Q:$Q,BV_Data_An_Cour!$V:$V,$B65,BV_Data_An_Cour!$W:$W,$C65,BV_Data_An_Cour!$X:$X,L$2)</f>
        <v>0</v>
      </c>
      <c r="M65" s="297"/>
      <c r="N65" s="298">
        <f t="shared" si="43"/>
        <v>-1609.1707333333329</v>
      </c>
      <c r="O65" s="297"/>
      <c r="P65" s="172"/>
      <c r="Q65" s="174">
        <f>SUMIFS(BV_Data_An_Prec!$P:$P,BV_Data_An_Prec!$U:$U,$B65,BV_Data_An_Prec!$V:$V,$C65,BV_Data_An_Prec!$W:$W,Q$2)</f>
        <v>1738.69</v>
      </c>
      <c r="R65" s="297"/>
      <c r="S65" s="193">
        <f t="shared" si="44"/>
        <v>-1738.69</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7762.3359333333328</v>
      </c>
      <c r="G66" s="296"/>
      <c r="H66" s="172"/>
      <c r="I66" s="173">
        <f>+SUMPRODUCT(('Budget révisé'!$A$8:$A$500=$A66)*('Budget révisé'!$C$3:$AO$3=I$2),'Budget révisé'!$C$8:$AO$500)</f>
        <v>7762.3359333333328</v>
      </c>
      <c r="J66" s="297"/>
      <c r="K66" s="172"/>
      <c r="L66" s="275">
        <f>SUMIFS(BV_Data_An_Cour!$Q:$Q,BV_Data_An_Cour!$V:$V,$B66,BV_Data_An_Cour!$W:$W,$C66,BV_Data_An_Cour!$X:$X,L$2)</f>
        <v>0</v>
      </c>
      <c r="M66" s="297"/>
      <c r="N66" s="298">
        <f t="shared" si="43"/>
        <v>-7762.3359333333328</v>
      </c>
      <c r="O66" s="297"/>
      <c r="P66" s="172"/>
      <c r="Q66" s="174">
        <f>SUMIFS(BV_Data_An_Prec!$P:$P,BV_Data_An_Prec!$U:$U,$B66,BV_Data_An_Prec!$V:$V,$C66,BV_Data_An_Prec!$W:$W,Q$2)</f>
        <v>8912.7999999999993</v>
      </c>
      <c r="R66" s="297"/>
      <c r="S66" s="193">
        <f t="shared" si="44"/>
        <v>-8912.7999999999993</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11532.56266666667</v>
      </c>
      <c r="G67" s="296"/>
      <c r="H67" s="172"/>
      <c r="I67" s="173">
        <f>+SUMPRODUCT(('Budget révisé'!$A$8:$A$500=$A67)*('Budget révisé'!$C$3:$AO$3=I$2),'Budget révisé'!$C$8:$AO$500)</f>
        <v>11532.56266666667</v>
      </c>
      <c r="J67" s="297"/>
      <c r="K67" s="172"/>
      <c r="L67" s="275">
        <f>SUMIFS(BV_Data_An_Cour!$Q:$Q,BV_Data_An_Cour!$V:$V,$B67,BV_Data_An_Cour!$W:$W,$C67,BV_Data_An_Cour!$X:$X,L$2)</f>
        <v>0</v>
      </c>
      <c r="M67" s="297"/>
      <c r="N67" s="298">
        <f t="shared" ref="N67" si="46">L67-I67</f>
        <v>-11532.56266666667</v>
      </c>
      <c r="O67" s="297"/>
      <c r="P67" s="172"/>
      <c r="Q67" s="174">
        <f>SUMIFS(BV_Data_An_Prec!$P:$P,BV_Data_An_Prec!$U:$U,$B67,BV_Data_An_Prec!$V:$V,$C67,BV_Data_An_Prec!$W:$W,Q$2)</f>
        <v>8693.36</v>
      </c>
      <c r="R67" s="297"/>
      <c r="S67" s="193">
        <f t="shared" ref="S67" si="47">L67-Q67</f>
        <v>-8693.36</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21634.118058531923</v>
      </c>
      <c r="G68" s="296"/>
      <c r="H68" s="172"/>
      <c r="I68" s="173">
        <f>+SUMPRODUCT(('Budget révisé'!$A$8:$A$500=$A68)*('Budget révisé'!$C$3:$AO$3=I$2),'Budget révisé'!$C$8:$AO$500)</f>
        <v>21634.118058531923</v>
      </c>
      <c r="J68" s="297"/>
      <c r="K68" s="172"/>
      <c r="L68" s="961">
        <f>AF447*W3</f>
        <v>0</v>
      </c>
      <c r="M68" s="297"/>
      <c r="N68" s="298">
        <f t="shared" ref="N68:N69" si="48">L68-I68</f>
        <v>-21634.118058531923</v>
      </c>
      <c r="O68" s="297"/>
      <c r="P68" s="172"/>
      <c r="Q68" s="174">
        <f>AL447*W3</f>
        <v>30135.055499999999</v>
      </c>
      <c r="R68" s="297"/>
      <c r="S68" s="193">
        <f t="shared" ref="S68:S69" si="49">L68-Q68</f>
        <v>-30135.055499999999</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0.1324696808816036</v>
      </c>
      <c r="F72" s="41">
        <f>+SUM(F55:F71)</f>
        <v>268998.69658349123</v>
      </c>
      <c r="G72" s="42" t="s">
        <v>111</v>
      </c>
      <c r="H72" s="40">
        <f>I72/I$27</f>
        <v>0.1324696808816036</v>
      </c>
      <c r="I72" s="41">
        <f>+SUM(I55:I71)</f>
        <v>268998.69658349123</v>
      </c>
      <c r="J72" s="42" t="s">
        <v>111</v>
      </c>
      <c r="K72" s="40" t="e">
        <f>L72/L$27</f>
        <v>#DIV/0!</v>
      </c>
      <c r="L72" s="41">
        <f>+SUM(L55:L71)</f>
        <v>0</v>
      </c>
      <c r="M72" s="44"/>
      <c r="N72" s="41">
        <f>+SUM(N55:N71)</f>
        <v>-268998.69658349123</v>
      </c>
      <c r="O72" s="42" t="s">
        <v>111</v>
      </c>
      <c r="P72" s="40">
        <f>Q72/Q$27</f>
        <v>0.14164276438038842</v>
      </c>
      <c r="Q72" s="41">
        <f>+SUM(Q55:Q71)</f>
        <v>257860.97549999997</v>
      </c>
      <c r="R72" s="44"/>
      <c r="S72" s="310">
        <f>+SUM(S55:S71)</f>
        <v>-257860.97549999997</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0.94680707438293721</v>
      </c>
      <c r="F74" s="41">
        <f>F41+F54+F72</f>
        <v>1922627.6324517678</v>
      </c>
      <c r="G74" s="42" t="s">
        <v>111</v>
      </c>
      <c r="H74" s="40">
        <f>I74/I$27</f>
        <v>0.94680707438293721</v>
      </c>
      <c r="I74" s="41">
        <f>I41+I54+I72</f>
        <v>1922627.6324517678</v>
      </c>
      <c r="J74" s="42" t="s">
        <v>111</v>
      </c>
      <c r="K74" s="40" t="e">
        <f>L74/L$27</f>
        <v>#DIV/0!</v>
      </c>
      <c r="L74" s="41">
        <f>L41+L54+L72</f>
        <v>0</v>
      </c>
      <c r="M74" s="44"/>
      <c r="N74" s="46">
        <f>L74-I74</f>
        <v>-1922627.6324517678</v>
      </c>
      <c r="O74" s="42" t="s">
        <v>111</v>
      </c>
      <c r="P74" s="40">
        <f>Q74/Q$27</f>
        <v>1.0405534979610129</v>
      </c>
      <c r="Q74" s="41">
        <f>Q41+Q54+Q72</f>
        <v>1894330.0154999997</v>
      </c>
      <c r="R74" s="44"/>
      <c r="S74" s="293">
        <f>L74-Q74</f>
        <v>-1894330.0154999997</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51584.4</v>
      </c>
      <c r="G75" s="296"/>
      <c r="H75" s="172"/>
      <c r="I75" s="173">
        <f>+SUMPRODUCT(('Budget révisé'!$A$8:$A$500=$A75)*('Budget révisé'!$C$3:$AO$3=I$2),'Budget révisé'!$C$8:$AO$500)</f>
        <v>51584.4</v>
      </c>
      <c r="J75" s="297"/>
      <c r="K75" s="172"/>
      <c r="L75" s="548">
        <f>-SUMIFS(BV_Data_An_Cour!$Q:$Q,BV_Data_An_Cour!$V:$V,$B75,BV_Data_An_Cour!$W:$W,$C75,BV_Data_An_Cour!$X:$X,L$2)</f>
        <v>0</v>
      </c>
      <c r="M75" s="297"/>
      <c r="N75" s="298">
        <f>L75-I75</f>
        <v>-51584.4</v>
      </c>
      <c r="O75" s="297"/>
      <c r="P75" s="172"/>
      <c r="Q75" s="548">
        <f>-SUMIFS(BV_Data_An_Prec!$P:$P,BV_Data_An_Prec!$U:$U,$B75,BV_Data_An_Prec!$V:$V,$C75,BV_Data_An_Prec!$W:$W,Q$2)-Q155</f>
        <v>122276.52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754200.01295783115</v>
      </c>
      <c r="G78" s="296"/>
      <c r="H78" s="172"/>
      <c r="I78" s="173">
        <f>+SUMPRODUCT(('Budget révisé'!$A$8:$A$500=$A78)*('Budget révisé'!$C$3:$AO$3=I$2),'Budget révisé'!$C$8:$AO$500)</f>
        <v>754200.01295783115</v>
      </c>
      <c r="J78" s="297"/>
      <c r="K78" s="172"/>
      <c r="L78" s="275">
        <f>-SUMIFS(BV_Data_An_Cour!$Q:$Q,BV_Data_An_Cour!$V:$V,$B78,BV_Data_An_Cour!$W:$W,$C78,BV_Data_An_Cour!$X:$X,L$2)</f>
        <v>0</v>
      </c>
      <c r="M78" s="297"/>
      <c r="N78" s="298">
        <f t="shared" si="50"/>
        <v>-754200.01295783115</v>
      </c>
      <c r="O78" s="297"/>
      <c r="P78" s="172"/>
      <c r="Q78" s="548">
        <f>-SUMIFS(BV_Data_An_Prec!$P:$P,BV_Data_An_Prec!$U:$U,$B78,BV_Data_An_Prec!$V:$V,$C78,BV_Data_An_Prec!$W:$W,Q$2)</f>
        <v>712005.5</v>
      </c>
      <c r="R78" s="297"/>
      <c r="S78" s="193">
        <f t="shared" si="51"/>
        <v>-712005.5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258883.19813839431</v>
      </c>
      <c r="G82" s="296"/>
      <c r="H82" s="172"/>
      <c r="I82" s="173">
        <f>+SUMPRODUCT(('Budget révisé'!$A$8:$A$500=$A82)*('Budget révisé'!$C$3:$AO$3=I$2),'Budget révisé'!$C$8:$AO$500)</f>
        <v>258883.19813839431</v>
      </c>
      <c r="J82" s="297"/>
      <c r="K82" s="172"/>
      <c r="L82" s="961">
        <f>-SUMIFS(BV_Data_An_Cour!$Q:$Q,BV_Data_An_Cour!$V:$V,$B82,BV_Data_An_Cour!$W:$W,$C82,BV_Data_An_Cour!$X:$X,L$2)-L158</f>
        <v>0</v>
      </c>
      <c r="M82" s="297"/>
      <c r="N82" s="298">
        <f t="shared" si="50"/>
        <v>-258883.19813839431</v>
      </c>
      <c r="O82" s="297"/>
      <c r="P82" s="172"/>
      <c r="Q82" s="548">
        <f>-SUMIFS(BV_Data_An_Prec!$P:$P,BV_Data_An_Prec!$U:$U,$B82,BV_Data_An_Prec!$V:$V,$C82,BV_Data_An_Prec!$W:$W,Q$2)-Q158</f>
        <v>199453.88</v>
      </c>
      <c r="R82" s="297"/>
      <c r="S82" s="193">
        <f t="shared" si="51"/>
        <v>-199453.88</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1064667.6110962254</v>
      </c>
      <c r="G83" s="42"/>
      <c r="H83" s="40"/>
      <c r="I83" s="41">
        <f>+SUM(I75:I82)</f>
        <v>1064667.6110962254</v>
      </c>
      <c r="J83" s="42"/>
      <c r="K83" s="40"/>
      <c r="L83" s="41">
        <f>+SUM(L75:L82)</f>
        <v>0</v>
      </c>
      <c r="M83" s="44"/>
      <c r="N83" s="41">
        <f>+SUM(N75:N82)</f>
        <v>-1064667.6110962254</v>
      </c>
      <c r="O83" s="42"/>
      <c r="P83" s="40"/>
      <c r="Q83" s="41">
        <f>+SUM(Q75:Q82)</f>
        <v>1033735.9</v>
      </c>
      <c r="R83" s="44"/>
      <c r="S83" s="310">
        <f>+SUM(S75:S82)</f>
        <v>-911459.38</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1172683.4798084116</v>
      </c>
      <c r="G85" s="430"/>
      <c r="H85" s="340"/>
      <c r="I85" s="337">
        <f>I27-I74+I83</f>
        <v>1172683.4798084116</v>
      </c>
      <c r="J85" s="430"/>
      <c r="K85" s="336"/>
      <c r="L85" s="337">
        <f>L27-L74+L83</f>
        <v>0</v>
      </c>
      <c r="M85" s="430"/>
      <c r="N85" s="337">
        <f>N27-N41-N54-N72+N83</f>
        <v>-1172683.4798084116</v>
      </c>
      <c r="O85" s="430"/>
      <c r="P85" s="336"/>
      <c r="Q85" s="337">
        <f>Q27-Q74+Q83</f>
        <v>959908.16450000077</v>
      </c>
      <c r="R85" s="430"/>
      <c r="S85" s="341">
        <f>S27-S41-S54-S72+S83</f>
        <v>-1023398.2145000006</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Octobre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21" t="s">
        <v>77</v>
      </c>
      <c r="E91" s="1422"/>
      <c r="F91" s="1423"/>
      <c r="G91" s="1424" t="s">
        <v>145</v>
      </c>
      <c r="H91" s="1422"/>
      <c r="I91" s="1423"/>
      <c r="J91" s="1424" t="s">
        <v>79</v>
      </c>
      <c r="K91" s="1422"/>
      <c r="L91" s="1423"/>
      <c r="M91" s="1424" t="s">
        <v>80</v>
      </c>
      <c r="N91" s="1423"/>
      <c r="O91" s="1421" t="s">
        <v>81</v>
      </c>
      <c r="P91" s="1422"/>
      <c r="Q91" s="1423"/>
      <c r="R91" s="1424" t="s">
        <v>82</v>
      </c>
      <c r="S91" s="1425"/>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5">+B93&amp;C93</f>
        <v>Véhicules usagésVentes nettes</v>
      </c>
      <c r="B93" s="24" t="s">
        <v>144</v>
      </c>
      <c r="C93" s="320" t="s">
        <v>88</v>
      </c>
      <c r="D93" s="178"/>
      <c r="E93" s="178"/>
      <c r="F93" s="171">
        <f>+SUMPRODUCT(('Budget original'!$A$8:$A$500=$A93)*('Budget original'!$C$3:$AO$3=F$2),'Budget original'!$C$8:$AO$500)</f>
        <v>12526679.079787795</v>
      </c>
      <c r="G93" s="177"/>
      <c r="H93" s="178"/>
      <c r="I93" s="171">
        <f>+SUMPRODUCT(('Budget révisé'!$A$8:$A$500=$A93)*('Budget révisé'!$C$3:$AO$3=I$2),'Budget révisé'!$C$8:$AO$500)</f>
        <v>12526679.079787795</v>
      </c>
      <c r="J93" s="562"/>
      <c r="K93" s="178"/>
      <c r="L93" s="171">
        <f>-SUMIFS(BV_Data_An_Cour!$Q:$Q,BV_Data_An_Cour!$Y:$Y,"Oui",BV_Data_An_Cour!$V:$V,$B93)</f>
        <v>0</v>
      </c>
      <c r="M93" s="389"/>
      <c r="N93" s="390"/>
      <c r="O93" s="562"/>
      <c r="P93" s="178"/>
      <c r="Q93" s="171">
        <f>-SUMIFS(BV_Data_An_Prec!$P:$P,BV_Data_An_Prec!$X:$X,"Oui",BV_Data_An_Prec!$U:$U,$B93)</f>
        <v>13408600.929999998</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5"/>
        <v>Véhicules usagésCertifié</v>
      </c>
      <c r="B94" s="24" t="s">
        <v>144</v>
      </c>
      <c r="C94" s="258" t="s">
        <v>146</v>
      </c>
      <c r="D94" s="173">
        <f>+SUMPRODUCT(('Budget original'!$A$8:$A$500=$A94)*('Budget original'!$C$3:$AO$3=D$2),'Budget original'!$C$8:$AO$500)</f>
        <v>382.35436893203882</v>
      </c>
      <c r="E94" s="173">
        <f>IF(D94=0,0,F94/D94)</f>
        <v>1300</v>
      </c>
      <c r="F94" s="173">
        <f>+SUMPRODUCT(('Budget original'!$A$8:$A$500=$A94)*('Budget original'!$C$3:$AO$3=F$2),'Budget original'!$C$8:$AO$500)</f>
        <v>497060.67961165047</v>
      </c>
      <c r="G94" s="176">
        <f>+SUMPRODUCT(('Budget révisé'!$A$8:$A$500=$A94)*('Budget révisé'!$C$3:$AO$3=G$2),'Budget révisé'!$C$8:$AO$500)</f>
        <v>382.35436893203882</v>
      </c>
      <c r="H94" s="173">
        <f>IF(G94=0,0,I94/G94)</f>
        <v>1300</v>
      </c>
      <c r="I94" s="173">
        <f>+SUMPRODUCT(('Budget révisé'!$A$8:$A$500=$A94)*('Budget révisé'!$C$3:$AO$3=I$2),'Budget révisé'!$C$8:$AO$500)</f>
        <v>497060.67961165047</v>
      </c>
      <c r="J94" s="563">
        <f>-SUMIFS(BV_Data_An_Cour!$Q:$Q,BV_Data_An_Cour!$V:$V,$B94,BV_Data_An_Cour!$W:$W,$C94,BV_Data_An_Cour!$X:$X,J$2)</f>
        <v>0</v>
      </c>
      <c r="K94" s="173">
        <f t="shared" ref="K94:K95" si="56">IF(J94=0,0,L94/J94)</f>
        <v>0</v>
      </c>
      <c r="L94" s="174">
        <f>-SUMIFS(BV_Data_An_Cour!$Q:$Q,BV_Data_An_Cour!$V:$V,$B94,BV_Data_An_Cour!$W:$W,$C94,BV_Data_An_Cour!$X:$X,$L2)</f>
        <v>0</v>
      </c>
      <c r="M94" s="176">
        <f>J94-G94</f>
        <v>-382.35436893203882</v>
      </c>
      <c r="N94" s="174">
        <f>L94-I94</f>
        <v>-497060.67961165047</v>
      </c>
      <c r="O94" s="563">
        <f>-SUMIFS(BV_Data_An_Prec!$P:$P,BV_Data_An_Prec!$U:$U,$B94,BV_Data_An_Prec!$V:$V,$C94,BV_Data_An_Prec!$W:$W,O$2)</f>
        <v>346</v>
      </c>
      <c r="P94" s="173">
        <f t="shared" ref="P94:P95" si="57">IF(O94=0,0,Q94/O94)</f>
        <v>1147.8989306358383</v>
      </c>
      <c r="Q94" s="174">
        <f>-SUMIFS(BV_Data_An_Prec!$P:$P,BV_Data_An_Prec!$U:$U,$B94,BV_Data_An_Prec!$V:$V,$C94,BV_Data_An_Prec!$W:$W,$L2)</f>
        <v>397173.03</v>
      </c>
      <c r="R94" s="176">
        <f t="shared" ref="R94:R95" si="58">J94-O94</f>
        <v>-346</v>
      </c>
      <c r="S94" s="393">
        <f t="shared" ref="S94:S95" si="59">L94-Q94</f>
        <v>-397173.03</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5"/>
        <v>Véhicules usagésNon Certifié</v>
      </c>
      <c r="B95" s="24" t="s">
        <v>144</v>
      </c>
      <c r="C95" s="258" t="s">
        <v>147</v>
      </c>
      <c r="D95" s="173">
        <f>+SUMPRODUCT(('Budget original'!$A$8:$A$500=$A95)*('Budget original'!$C$3:$AO$3=D$2),'Budget original'!$C$8:$AO$500)</f>
        <v>21.480582524271842</v>
      </c>
      <c r="E95" s="178">
        <f t="shared" ref="E95:E104" si="60">IF(D95=0,0,F95/D95)</f>
        <v>900</v>
      </c>
      <c r="F95" s="173">
        <f>+SUMPRODUCT(('Budget original'!$A$8:$A$500=$A95)*('Budget original'!$C$3:$AO$3=F$2),'Budget original'!$C$8:$AO$500)</f>
        <v>19332.524271844657</v>
      </c>
      <c r="G95" s="176">
        <f>+SUMPRODUCT(('Budget révisé'!$A$8:$A$500=$A95)*('Budget révisé'!$C$3:$AO$3=G$2),'Budget révisé'!$C$8:$AO$500)</f>
        <v>21.480582524271842</v>
      </c>
      <c r="H95" s="173">
        <f t="shared" ref="H95:H104" si="61">IF(G95=0,0,I95/G95)</f>
        <v>900</v>
      </c>
      <c r="I95" s="173">
        <f>+SUMPRODUCT(('Budget révisé'!$A$8:$A$500=$A95)*('Budget révisé'!$C$3:$AO$3=I$2),'Budget révisé'!$C$8:$AO$500)</f>
        <v>19332.524271844657</v>
      </c>
      <c r="J95" s="176">
        <f>-SUMIFS(BV_Data_An_Cour!$Q:$Q,BV_Data_An_Cour!$V:$V,$B95,BV_Data_An_Cour!$W:$W,$C95,BV_Data_An_Cour!$X:$X,J$2)</f>
        <v>0</v>
      </c>
      <c r="K95" s="173">
        <f t="shared" si="56"/>
        <v>0</v>
      </c>
      <c r="L95" s="548">
        <f>-SUMIFS(BV_Data_An_Cour!$Q:$Q,BV_Data_An_Cour!$V:$V,$B95,BV_Data_An_Cour!$W:$W,$C95,BV_Data_An_Cour!$X:$X,$L2)</f>
        <v>0</v>
      </c>
      <c r="M95" s="176"/>
      <c r="N95" s="174"/>
      <c r="O95" s="176">
        <f>-SUMIFS(BV_Data_An_Prec!$P:$P,BV_Data_An_Prec!$U:$U,$B95,BV_Data_An_Prec!$V:$V,$C95,BV_Data_An_Prec!$W:$W,O$2)</f>
        <v>10</v>
      </c>
      <c r="P95" s="173">
        <f t="shared" si="57"/>
        <v>922.74400000000037</v>
      </c>
      <c r="Q95" s="548">
        <f>-SUMIFS(BV_Data_An_Prec!$P:$P,BV_Data_An_Prec!$U:$U,$B95,BV_Data_An_Prec!$V:$V,$C95,BV_Data_An_Prec!$W:$W,$L2)</f>
        <v>9227.4400000000041</v>
      </c>
      <c r="R95" s="176">
        <f t="shared" si="58"/>
        <v>-10</v>
      </c>
      <c r="S95" s="393">
        <f t="shared" si="59"/>
        <v>-9227.4400000000041</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5"/>
        <v>Véhicules usagésTotal Usagés</v>
      </c>
      <c r="B96" s="24" t="s">
        <v>144</v>
      </c>
      <c r="C96" s="394" t="s">
        <v>148</v>
      </c>
      <c r="D96" s="395">
        <f>+D95+D94</f>
        <v>403.83495145631065</v>
      </c>
      <c r="E96" s="173">
        <f t="shared" si="60"/>
        <v>1278.7234042553191</v>
      </c>
      <c r="F96" s="396">
        <f t="shared" ref="F96" si="62">+F94+F95</f>
        <v>516393.20388349512</v>
      </c>
      <c r="G96" s="397">
        <f>+G95+G94</f>
        <v>403.83495145631065</v>
      </c>
      <c r="H96" s="395">
        <f t="shared" si="61"/>
        <v>1278.7234042553191</v>
      </c>
      <c r="I96" s="396">
        <f t="shared" ref="I96" si="63">+I94+I95</f>
        <v>516393.20388349512</v>
      </c>
      <c r="J96" s="397">
        <f t="shared" ref="J96" si="64">+J94+J95</f>
        <v>0</v>
      </c>
      <c r="K96" s="395">
        <f>IF(J96&lt;=0,0,L96/J96)</f>
        <v>0</v>
      </c>
      <c r="L96" s="396">
        <f>+L94+L95</f>
        <v>0</v>
      </c>
      <c r="M96" s="397">
        <f>J96-G96</f>
        <v>-403.83495145631065</v>
      </c>
      <c r="N96" s="396">
        <f>L96-I96</f>
        <v>-516393.20388349512</v>
      </c>
      <c r="O96" s="397">
        <f t="shared" ref="O96" si="65">+O94+O95</f>
        <v>356</v>
      </c>
      <c r="P96" s="395">
        <f>IF(O96&lt;=0,0,Q96/O96)</f>
        <v>1141.5743539325842</v>
      </c>
      <c r="Q96" s="396">
        <f>+Q94+Q95</f>
        <v>406400.47000000003</v>
      </c>
      <c r="R96" s="397">
        <f t="shared" ref="R96:S96" si="66">R94+R95</f>
        <v>-356</v>
      </c>
      <c r="S96" s="398">
        <f t="shared" si="66"/>
        <v>-406400.47000000003</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5"/>
        <v>Véhicules usagés</v>
      </c>
      <c r="B97" s="24" t="s">
        <v>144</v>
      </c>
      <c r="C97" s="258"/>
      <c r="D97" s="172"/>
      <c r="E97" s="173">
        <f t="shared" si="60"/>
        <v>0</v>
      </c>
      <c r="F97" s="306"/>
      <c r="G97" s="297"/>
      <c r="H97" s="172">
        <f t="shared" si="6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5"/>
        <v>Véhicules usagésUS</v>
      </c>
      <c r="B98" s="24" t="s">
        <v>144</v>
      </c>
      <c r="C98" s="258" t="s">
        <v>149</v>
      </c>
      <c r="D98" s="173">
        <f>+SUMPRODUCT(('Budget original'!$A$8:$A$500=$A98)*('Budget original'!$C$3:$AO$3=D$2),'Budget original'!$C$8:$AO$500)</f>
        <v>0</v>
      </c>
      <c r="E98" s="173">
        <f t="shared" si="60"/>
        <v>0</v>
      </c>
      <c r="F98" s="173">
        <f>+SUMPRODUCT(('Budget original'!$A$8:$A$500=$A98)*('Budget original'!$C$3:$AO$3=F$2),'Budget original'!$C$8:$AO$500)</f>
        <v>0</v>
      </c>
      <c r="G98" s="297">
        <f>+SUMPRODUCT(('Budget révisé'!$A$8:$A$500=$A98)*('Budget révisé'!$C$3:$AO$3=G$2),'Budget révisé'!$C$8:$AO$500)</f>
        <v>0</v>
      </c>
      <c r="H98" s="173">
        <f t="shared" si="61"/>
        <v>0</v>
      </c>
      <c r="I98" s="173">
        <f>+SUMPRODUCT(('Budget révisé'!$A$8:$A$500=$A98)*('Budget révisé'!$C$3:$AO$3=I$2),'Budget révisé'!$C$8:$AO$500)</f>
        <v>0</v>
      </c>
      <c r="J98" s="176">
        <f>-SUMIFS(BV_Data_An_Cour!$Q:$Q,BV_Data_An_Cour!$V:$V,$B98,BV_Data_An_Cour!$W:$W,$C98,BV_Data_An_Cour!$X:$X,J$2)</f>
        <v>0</v>
      </c>
      <c r="K98" s="173">
        <f t="shared" ref="K98:K99" si="67">IF(J98=0,0,L98/J98)</f>
        <v>0</v>
      </c>
      <c r="L98" s="174">
        <f>-SUMIFS(BV_Data_An_Cour!$Q:$Q,BV_Data_An_Cour!$V:$V,$B98,BV_Data_An_Cour!$W:$W,$C98,BV_Data_An_Cour!$X:$X,$L2)</f>
        <v>0</v>
      </c>
      <c r="M98" s="176">
        <f t="shared" ref="M98:M99" si="68">J98-G98</f>
        <v>0</v>
      </c>
      <c r="N98" s="174">
        <f t="shared" ref="N98:N99" si="69">L98-I98</f>
        <v>0</v>
      </c>
      <c r="O98" s="176">
        <f>-SUMIFS(BV_Data_An_Prec!$P:$P,BV_Data_An_Prec!$U:$U,$B98,BV_Data_An_Prec!$V:$V,$C98,BV_Data_An_Prec!$W:$W,O$2)</f>
        <v>0</v>
      </c>
      <c r="P98" s="173">
        <f t="shared" ref="P98:P99" si="70">IF(O98=0,0,Q98/O98)</f>
        <v>0</v>
      </c>
      <c r="Q98" s="174">
        <f>-SUMIFS(BV_Data_An_Prec!$P:$P,BV_Data_An_Prec!$U:$U,$B98,BV_Data_An_Prec!$V:$V,$C98,BV_Data_An_Prec!$W:$W,$L2)</f>
        <v>0</v>
      </c>
      <c r="R98" s="176">
        <f t="shared" ref="R98:R99" si="71">J98-O98</f>
        <v>0</v>
      </c>
      <c r="S98" s="393">
        <f t="shared" ref="S98:S99" si="72">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5"/>
        <v>Véhicules usagésVentes au Gros</v>
      </c>
      <c r="B99" s="24" t="s">
        <v>144</v>
      </c>
      <c r="C99" s="258" t="s">
        <v>150</v>
      </c>
      <c r="D99" s="173">
        <f>+SUMPRODUCT(('Budget original'!$A$8:$A$500=$A99)*('Budget original'!$C$3:$AO$3=D$2),'Budget original'!$C$8:$AO$500)</f>
        <v>351.41431358229005</v>
      </c>
      <c r="E99" s="173">
        <f t="shared" si="60"/>
        <v>212</v>
      </c>
      <c r="F99" s="173">
        <f>+SUMPRODUCT(('Budget original'!$A$8:$A$500=$A99)*('Budget original'!$C$3:$AO$3=F$2),'Budget original'!$C$8:$AO$500)</f>
        <v>74499.83447944549</v>
      </c>
      <c r="G99" s="173">
        <f>+SUMPRODUCT(('Budget révisé'!$A$8:$A$500=$A99)*('Budget révisé'!$C$3:$AO$3=G$2),'Budget révisé'!$C$8:$AO$500)</f>
        <v>351.41431358229005</v>
      </c>
      <c r="H99" s="173">
        <f t="shared" si="61"/>
        <v>212</v>
      </c>
      <c r="I99" s="173">
        <f>+SUMPRODUCT(('Budget révisé'!$A$8:$A$500=$A99)*('Budget révisé'!$C$3:$AO$3=I$2),'Budget révisé'!$C$8:$AO$500)</f>
        <v>74499.83447944549</v>
      </c>
      <c r="J99" s="176">
        <f>-SUMIFS(BV_Data_An_Cour!$Q:$Q,BV_Data_An_Cour!$V:$V,$B99,BV_Data_An_Cour!$W:$W,$C99,BV_Data_An_Cour!$X:$X,J$2)</f>
        <v>0</v>
      </c>
      <c r="K99" s="173">
        <f t="shared" si="67"/>
        <v>0</v>
      </c>
      <c r="L99" s="174">
        <f>-SUMIFS(BV_Data_An_Cour!$Q:$Q,BV_Data_An_Cour!$V:$V,$B99,BV_Data_An_Cour!$W:$W,$C99,BV_Data_An_Cour!$X:$X,L$2)</f>
        <v>0</v>
      </c>
      <c r="M99" s="176">
        <f t="shared" si="68"/>
        <v>-351.41431358229005</v>
      </c>
      <c r="N99" s="174">
        <f t="shared" si="69"/>
        <v>-74499.83447944549</v>
      </c>
      <c r="O99" s="176">
        <f>-SUMIFS(BV_Data_An_Prec!$P:$P,BV_Data_An_Prec!$U:$U,$B99,BV_Data_An_Prec!$V:$V,$C99,BV_Data_An_Prec!$W:$W,O$2)</f>
        <v>385</v>
      </c>
      <c r="P99" s="173">
        <f t="shared" si="70"/>
        <v>286.51919480519638</v>
      </c>
      <c r="Q99" s="174">
        <f>-SUMIFS(BV_Data_An_Prec!$P:$P,BV_Data_An_Prec!$U:$U,$B99,BV_Data_An_Prec!$V:$V,$C99,BV_Data_An_Prec!$W:$W,Q$2)</f>
        <v>110309.8900000006</v>
      </c>
      <c r="R99" s="176">
        <f t="shared" si="71"/>
        <v>-385</v>
      </c>
      <c r="S99" s="393">
        <f t="shared" si="72"/>
        <v>-110309.8900000006</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5"/>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5"/>
        <v>Véhicules usagésRev. Finances</v>
      </c>
      <c r="B101" s="24" t="s">
        <v>144</v>
      </c>
      <c r="C101" s="258" t="s">
        <v>97</v>
      </c>
      <c r="D101" s="173">
        <f>+SUMPRODUCT(('Budget original'!$A$8:$A$500=$A101)*('Budget original'!$C$3:$AO$3=D$2),'Budget original'!$C$8:$AO$500)</f>
        <v>0</v>
      </c>
      <c r="E101" s="173">
        <f t="shared" si="60"/>
        <v>0</v>
      </c>
      <c r="F101" s="174">
        <f>+SUMPRODUCT(('Budget original'!$A$8:$A$500=$A101)*('Budget original'!$C$3:$AO$3=F$2),'Budget original'!$C$8:$AO$500)</f>
        <v>266111.44794450578</v>
      </c>
      <c r="G101" s="176">
        <f>+SUMPRODUCT(('Budget révisé'!$A$8:$A$500=$A101)*('Budget révisé'!$C$3:$AO$3=G$2),'Budget révisé'!$C$8:$AO$500)</f>
        <v>0</v>
      </c>
      <c r="H101" s="173">
        <f t="shared" si="61"/>
        <v>0</v>
      </c>
      <c r="I101" s="173">
        <f>+SUMPRODUCT(('Budget révisé'!$A$8:$A$500=$A101)*('Budget révisé'!$C$3:$AO$3=I$2),'Budget révisé'!$C$8:$AO$500)</f>
        <v>266111.44794450578</v>
      </c>
      <c r="J101" s="176"/>
      <c r="K101" s="173">
        <f>IF(J96=0,0,L101/J96)</f>
        <v>0</v>
      </c>
      <c r="L101" s="174">
        <f>-SUMIFS(BV_Data_An_Cour!$Q:$Q,BV_Data_An_Cour!$V:$V,$B101,BV_Data_An_Cour!$W:$W,$C101,BV_Data_An_Cour!$X:$X,$L2)</f>
        <v>0</v>
      </c>
      <c r="M101" s="176"/>
      <c r="N101" s="174">
        <f t="shared" ref="N101:N104" si="73">L101-I101</f>
        <v>-266111.44794450578</v>
      </c>
      <c r="O101" s="176"/>
      <c r="P101" s="173">
        <f>IF(O96=0,0,Q101/O96)</f>
        <v>743.90738764044954</v>
      </c>
      <c r="Q101" s="174">
        <f>-SUMIFS(BV_Data_An_Prec!$P:$P,BV_Data_An_Prec!$U:$U,$B101,BV_Data_An_Prec!$V:$V,$C101,BV_Data_An_Prec!$W:$W,$L2)</f>
        <v>264831.03000000003</v>
      </c>
      <c r="R101" s="176">
        <f t="shared" ref="R101:R103" si="74">O101-K101</f>
        <v>0</v>
      </c>
      <c r="S101" s="393">
        <f t="shared" ref="S101:S104" si="75">L101-Q101</f>
        <v>-264831.03000000003</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5"/>
        <v>Véhicules usagésRev. Protections</v>
      </c>
      <c r="B102" s="24" t="s">
        <v>144</v>
      </c>
      <c r="C102" s="258" t="s">
        <v>98</v>
      </c>
      <c r="D102" s="173">
        <f>+SUMPRODUCT(('Budget original'!$A$8:$A$500=$A102)*('Budget original'!$C$3:$AO$3=D$2),'Budget original'!$C$8:$AO$500)</f>
        <v>0</v>
      </c>
      <c r="E102" s="173">
        <f t="shared" si="60"/>
        <v>0</v>
      </c>
      <c r="F102" s="174">
        <f>+SUMPRODUCT(('Budget original'!$A$8:$A$500=$A102)*('Budget original'!$C$3:$AO$3=F$2),'Budget original'!$C$8:$AO$500)</f>
        <v>469193.48991757003</v>
      </c>
      <c r="G102" s="176">
        <f>+SUMPRODUCT(('Budget révisé'!$A$8:$A$500=$A102)*('Budget révisé'!$C$3:$AO$3=G$2),'Budget révisé'!$C$8:$AO$500)</f>
        <v>0</v>
      </c>
      <c r="H102" s="173">
        <f t="shared" si="61"/>
        <v>0</v>
      </c>
      <c r="I102" s="173">
        <f>+SUMPRODUCT(('Budget révisé'!$A$8:$A$500=$A102)*('Budget révisé'!$C$3:$AO$3=I$2),'Budget révisé'!$C$8:$AO$500)</f>
        <v>469193.48991757003</v>
      </c>
      <c r="J102" s="176"/>
      <c r="K102" s="173">
        <f>IF(J96=0,0,L102/J96)</f>
        <v>0</v>
      </c>
      <c r="L102" s="174">
        <f>-SUMIFS(BV_Data_An_Cour!$Q:$Q,BV_Data_An_Cour!$V:$V,$B102,BV_Data_An_Cour!$W:$W,$C102,BV_Data_An_Cour!$X:$X,$L2)</f>
        <v>0</v>
      </c>
      <c r="M102" s="176"/>
      <c r="N102" s="174">
        <f t="shared" si="73"/>
        <v>-469193.48991757003</v>
      </c>
      <c r="O102" s="176"/>
      <c r="P102" s="173">
        <f>IF(O96=0,0,Q102/O96)</f>
        <v>1195.9775561797753</v>
      </c>
      <c r="Q102" s="174">
        <f>-SUMIFS(BV_Data_An_Prec!$P:$P,BV_Data_An_Prec!$U:$U,$B102,BV_Data_An_Prec!$V:$V,$C102,BV_Data_An_Prec!$W:$W,$L2)</f>
        <v>425768.01</v>
      </c>
      <c r="R102" s="176">
        <f t="shared" si="74"/>
        <v>0</v>
      </c>
      <c r="S102" s="393">
        <f t="shared" si="75"/>
        <v>-425768.01</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5"/>
        <v>Véhicules usagésRev. Autres</v>
      </c>
      <c r="B103" s="24" t="s">
        <v>144</v>
      </c>
      <c r="C103" s="258" t="s">
        <v>99</v>
      </c>
      <c r="D103" s="173">
        <f>+SUMPRODUCT(('Budget original'!$A$8:$A$500=$A103)*('Budget original'!$C$3:$AO$3=D$2),'Budget original'!$C$8:$AO$500)</f>
        <v>0</v>
      </c>
      <c r="E103" s="178">
        <f t="shared" si="60"/>
        <v>0</v>
      </c>
      <c r="F103" s="174">
        <f>+SUMPRODUCT(('Budget original'!$A$8:$A$500=$A103)*('Budget original'!$C$3:$AO$3=F$2),'Budget original'!$C$8:$AO$500)</f>
        <v>13307.65697014105</v>
      </c>
      <c r="G103" s="176">
        <f>+SUMPRODUCT(('Budget révisé'!$A$8:$A$500=$A103)*('Budget révisé'!$C$3:$AO$3=G$2),'Budget révisé'!$C$8:$AO$500)</f>
        <v>0</v>
      </c>
      <c r="H103" s="401">
        <f t="shared" si="61"/>
        <v>0</v>
      </c>
      <c r="I103" s="173">
        <f>+SUMPRODUCT(('Budget révisé'!$A$8:$A$500=$A103)*('Budget révisé'!$C$3:$AO$3=I$2),'Budget révisé'!$C$8:$AO$500)</f>
        <v>13307.65697014105</v>
      </c>
      <c r="J103" s="176"/>
      <c r="K103" s="401">
        <f>IF(J96=0,0,L103/J96)</f>
        <v>0</v>
      </c>
      <c r="L103" s="174">
        <f>-SUMIFS(BV_Data_An_Cour!$Q:$Q,BV_Data_An_Cour!$V:$V,$B103,BV_Data_An_Cour!$W:$W,$C103,BV_Data_An_Cour!$X:$X,$L$2)</f>
        <v>0</v>
      </c>
      <c r="M103" s="400"/>
      <c r="N103" s="174">
        <f t="shared" si="73"/>
        <v>-13307.65697014105</v>
      </c>
      <c r="O103" s="176"/>
      <c r="P103" s="401">
        <f>IF(O96=0,0,Q103/O96)</f>
        <v>51.154775280898875</v>
      </c>
      <c r="Q103" s="174">
        <f>-SUMIFS(BV_Data_An_Prec!$P:$P,BV_Data_An_Prec!$U:$U,$B103,BV_Data_An_Prec!$V:$V,$C103,BV_Data_An_Prec!$W:$W,$L$2)</f>
        <v>18211.099999999999</v>
      </c>
      <c r="R103" s="176">
        <f t="shared" si="74"/>
        <v>0</v>
      </c>
      <c r="S103" s="393">
        <f t="shared" si="75"/>
        <v>-18211.099999999999</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5"/>
        <v>Véhicules usagésTotal F&amp;I</v>
      </c>
      <c r="B104" s="24" t="s">
        <v>144</v>
      </c>
      <c r="C104" s="394" t="s">
        <v>100</v>
      </c>
      <c r="D104" s="395">
        <f>D96</f>
        <v>403.83495145631065</v>
      </c>
      <c r="E104" s="173">
        <f t="shared" si="60"/>
        <v>1853.7587995604845</v>
      </c>
      <c r="F104" s="396">
        <f>F101+F102+F103</f>
        <v>748612.59483221697</v>
      </c>
      <c r="G104" s="397">
        <f>G96</f>
        <v>403.83495145631065</v>
      </c>
      <c r="H104" s="395">
        <f t="shared" si="61"/>
        <v>1853.7587995604845</v>
      </c>
      <c r="I104" s="396">
        <f>I101+I102+I103</f>
        <v>748612.59483221697</v>
      </c>
      <c r="J104" s="397">
        <f>J96</f>
        <v>0</v>
      </c>
      <c r="K104" s="395">
        <f>IF(J104&lt;=0,0,L104/J104)</f>
        <v>0</v>
      </c>
      <c r="L104" s="396">
        <f>L101+L102+L103</f>
        <v>0</v>
      </c>
      <c r="M104" s="176">
        <f>J104-G104</f>
        <v>-403.83495145631065</v>
      </c>
      <c r="N104" s="396">
        <f t="shared" si="73"/>
        <v>-748612.59483221697</v>
      </c>
      <c r="O104" s="397">
        <f>O96</f>
        <v>356</v>
      </c>
      <c r="P104" s="395">
        <f>IF(O104&lt;=0,0,Q104/O104)</f>
        <v>1991.0397191011236</v>
      </c>
      <c r="Q104" s="396">
        <f>Q101+Q102+Q103</f>
        <v>708810.14</v>
      </c>
      <c r="R104" s="405"/>
      <c r="S104" s="398">
        <f t="shared" si="75"/>
        <v>-708810.14</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5"/>
        <v>Véhicules usagés</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5"/>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5"/>
        <v>Véhicules usagésTotal Dépt. Usagés</v>
      </c>
      <c r="B107" s="24" t="s">
        <v>144</v>
      </c>
      <c r="C107" s="263" t="s">
        <v>151</v>
      </c>
      <c r="D107" s="26">
        <f>D96+D99</f>
        <v>755.2492650386007</v>
      </c>
      <c r="E107" s="30">
        <f>IF(D107&lt;=0,0,F107/D107)</f>
        <v>1773.5940903255241</v>
      </c>
      <c r="F107" s="28">
        <f>F96+F104+F99</f>
        <v>1339505.6331951576</v>
      </c>
      <c r="G107" s="29">
        <f>G96+G99</f>
        <v>755.2492650386007</v>
      </c>
      <c r="H107" s="30">
        <f>IF(G107&lt;=0,0,I107/G107)</f>
        <v>1773.5940903255241</v>
      </c>
      <c r="I107" s="28">
        <f>I96+I104+I99</f>
        <v>1339505.6331951576</v>
      </c>
      <c r="J107" s="29">
        <f>J96+J99</f>
        <v>0</v>
      </c>
      <c r="K107" s="30">
        <f>IF(J107&lt;=0,0,L107/J107)</f>
        <v>0</v>
      </c>
      <c r="L107" s="28">
        <f>L96+L104+L99</f>
        <v>0</v>
      </c>
      <c r="M107" s="29">
        <f>J107-G107</f>
        <v>-755.2492650386007</v>
      </c>
      <c r="N107" s="28">
        <f>L107-I107</f>
        <v>-1339505.6331951576</v>
      </c>
      <c r="O107" s="29">
        <f>O96+O99</f>
        <v>741</v>
      </c>
      <c r="P107" s="30">
        <f>IF(O107&lt;=0,0,Q107/O107)</f>
        <v>1653.8738191632938</v>
      </c>
      <c r="Q107" s="28">
        <f>Q96+Q104+Q99</f>
        <v>1225520.5000000007</v>
      </c>
      <c r="R107" s="29">
        <f>J107-O107</f>
        <v>-741</v>
      </c>
      <c r="S107" s="357">
        <f>L107-Q107</f>
        <v>-1225520.5000000007</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5"/>
        <v>Véhicules usagés</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5"/>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5"/>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5"/>
        <v>Véhicules usagésComm. vendeurs</v>
      </c>
      <c r="B111" s="24" t="s">
        <v>144</v>
      </c>
      <c r="C111" s="258" t="s">
        <v>103</v>
      </c>
      <c r="D111" s="295"/>
      <c r="E111" s="191">
        <f t="shared" ref="E111:E116" si="76">F111/D$96</f>
        <v>505.55129823296068</v>
      </c>
      <c r="F111" s="173">
        <f>+SUMPRODUCT(('Budget original'!$A$8:$A$500=$A111)*('Budget original'!$C$3:$AO$3=F$2),'Budget original'!$C$8:$AO$500)</f>
        <v>204159.28398058249</v>
      </c>
      <c r="G111" s="296"/>
      <c r="H111" s="191">
        <f t="shared" ref="H111:H116" si="77">I111/G$96</f>
        <v>505.55129823296068</v>
      </c>
      <c r="I111" s="173">
        <f>+SUMPRODUCT(('Budget révisé'!$A$8:$A$500=$A111)*('Budget révisé'!$C$3:$AO$3=I$2),'Budget révisé'!$C$8:$AO$500)</f>
        <v>204159.28398058249</v>
      </c>
      <c r="J111" s="952"/>
      <c r="K111" s="191">
        <f t="shared" ref="K111:K116" si="78">IF($J$96=0,0,L111/(J$94+J$95))</f>
        <v>0</v>
      </c>
      <c r="L111" s="174">
        <f>SUMIFS(BV_Data_An_Cour!$Q:$Q,BV_Data_An_Cour!$V:$V,$B111,BV_Data_An_Cour!$W:$W,$C111,BV_Data_An_Cour!$X:$X,$L$2)</f>
        <v>0</v>
      </c>
      <c r="M111" s="297"/>
      <c r="N111" s="298">
        <f t="shared" ref="N111:N121" si="79">L111-I111</f>
        <v>-204159.28398058249</v>
      </c>
      <c r="O111" s="297"/>
      <c r="P111" s="191">
        <f t="shared" ref="P111:P116" si="80">IF($J$96=0,0,Q111/(O$94+O$95))</f>
        <v>0</v>
      </c>
      <c r="Q111" s="174">
        <f>SUMIFS(BV_Data_An_Prec!$P:$P,BV_Data_An_Prec!$U:$U,$B111,BV_Data_An_Prec!$V:$V,$C111,BV_Data_An_Prec!$W:$W,$L$2)</f>
        <v>176313.68</v>
      </c>
      <c r="R111" s="297"/>
      <c r="S111" s="193">
        <f t="shared" ref="S111:S121" si="81">L111-Q111</f>
        <v>-176313.68</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5"/>
        <v>Véhicules usagésComm. F&amp;I</v>
      </c>
      <c r="B112" s="24" t="s">
        <v>144</v>
      </c>
      <c r="C112" s="320" t="s">
        <v>104</v>
      </c>
      <c r="D112" s="301"/>
      <c r="E112" s="407">
        <f t="shared" si="76"/>
        <v>556.12763986814525</v>
      </c>
      <c r="F112" s="171">
        <f>+SUMPRODUCT(('Budget original'!$A$8:$A$500=$A112)*('Budget original'!$C$3:$AO$3=F$2),'Budget original'!$C$8:$AO$500)</f>
        <v>224583.77844966506</v>
      </c>
      <c r="G112" s="303"/>
      <c r="H112" s="407">
        <f t="shared" si="77"/>
        <v>556.12763986814525</v>
      </c>
      <c r="I112" s="171">
        <f>+SUMPRODUCT(('Budget révisé'!$A$8:$A$500=$A112)*('Budget révisé'!$C$3:$AO$3=I$2),'Budget révisé'!$C$8:$AO$500)</f>
        <v>224583.77844966506</v>
      </c>
      <c r="J112" s="953" t="e">
        <f>L112/L104</f>
        <v>#DIV/0!</v>
      </c>
      <c r="K112" s="407">
        <f t="shared" si="78"/>
        <v>0</v>
      </c>
      <c r="L112" s="174">
        <f>SUMIFS(BV_Data_An_Cour!$Q:$Q,BV_Data_An_Cour!$V:$V,$B112,BV_Data_An_Cour!$W:$W,$C112,BV_Data_An_Cour!$X:$X,$L$2)</f>
        <v>0</v>
      </c>
      <c r="M112" s="304"/>
      <c r="N112" s="305">
        <f t="shared" si="79"/>
        <v>-224583.77844966506</v>
      </c>
      <c r="O112" s="304"/>
      <c r="P112" s="407">
        <f t="shared" si="80"/>
        <v>0</v>
      </c>
      <c r="Q112" s="174">
        <f>SUMIFS(BV_Data_An_Prec!$P:$P,BV_Data_An_Prec!$U:$U,$B112,BV_Data_An_Prec!$V:$V,$C112,BV_Data_An_Prec!$W:$W,$L$2)</f>
        <v>213981.79</v>
      </c>
      <c r="R112" s="304"/>
      <c r="S112" s="196">
        <f t="shared" si="81"/>
        <v>-213981.79</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5"/>
        <v>Véhicules usagésFrais de livraison</v>
      </c>
      <c r="B113" s="24" t="s">
        <v>144</v>
      </c>
      <c r="C113" s="258" t="s">
        <v>105</v>
      </c>
      <c r="D113" s="295"/>
      <c r="E113" s="191">
        <f t="shared" si="76"/>
        <v>69.809353301886787</v>
      </c>
      <c r="F113" s="173">
        <f>+SUMPRODUCT(('Budget original'!$A$8:$A$500=$A113)*('Budget original'!$C$3:$AO$3=F$2),'Budget original'!$C$8:$AO$500)</f>
        <v>28191.456801863893</v>
      </c>
      <c r="G113" s="296"/>
      <c r="H113" s="191">
        <f t="shared" si="77"/>
        <v>69.809353301886787</v>
      </c>
      <c r="I113" s="173">
        <f>+SUMPRODUCT(('Budget révisé'!$A$8:$A$500=$A113)*('Budget révisé'!$C$3:$AO$3=I$2),'Budget révisé'!$C$8:$AO$500)</f>
        <v>28191.456801863893</v>
      </c>
      <c r="J113" s="297"/>
      <c r="K113" s="191">
        <f t="shared" si="78"/>
        <v>0</v>
      </c>
      <c r="L113" s="175">
        <f>SUMIFS(BV_Data_An_Cour!$Q:$Q,BV_Data_An_Cour!$V:$V,$B113,BV_Data_An_Cour!$W:$W,$C113,BV_Data_An_Cour!$X:$X,$L$2)</f>
        <v>0</v>
      </c>
      <c r="M113" s="297"/>
      <c r="N113" s="298">
        <f t="shared" si="79"/>
        <v>-28191.456801863893</v>
      </c>
      <c r="O113" s="297"/>
      <c r="P113" s="191">
        <f t="shared" si="80"/>
        <v>0</v>
      </c>
      <c r="Q113" s="175">
        <f>SUMIFS(BV_Data_An_Prec!$P:$P,BV_Data_An_Prec!$U:$U,$B113,BV_Data_An_Prec!$V:$V,$C113,BV_Data_An_Prec!$W:$W,$L$2)</f>
        <v>26811.35</v>
      </c>
      <c r="R113" s="297"/>
      <c r="S113" s="193">
        <f t="shared" si="81"/>
        <v>-26811.35</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5"/>
        <v>Véhicules usagésService gratuit 1</v>
      </c>
      <c r="B114" s="24" t="s">
        <v>144</v>
      </c>
      <c r="C114" s="258" t="s">
        <v>106</v>
      </c>
      <c r="D114" s="295"/>
      <c r="E114" s="191">
        <f t="shared" si="76"/>
        <v>33.51101497641509</v>
      </c>
      <c r="F114" s="173">
        <f>+SUMPRODUCT(('Budget original'!$A$8:$A$500=$A114)*('Budget original'!$C$3:$AO$3=F$2),'Budget original'!$C$8:$AO$500)</f>
        <v>13532.919106252288</v>
      </c>
      <c r="G114" s="296"/>
      <c r="H114" s="191">
        <f t="shared" si="77"/>
        <v>33.51101497641509</v>
      </c>
      <c r="I114" s="173">
        <f>+SUMPRODUCT(('Budget révisé'!$A$8:$A$500=$A114)*('Budget révisé'!$C$3:$AO$3=I$2),'Budget révisé'!$C$8:$AO$500)</f>
        <v>13532.919106252288</v>
      </c>
      <c r="J114" s="297"/>
      <c r="K114" s="191">
        <f t="shared" si="78"/>
        <v>0</v>
      </c>
      <c r="L114" s="174">
        <f>SUMIFS(BV_Data_An_Cour!$Q:$Q,BV_Data_An_Cour!$V:$V,$B114,BV_Data_An_Cour!$W:$W,$C114,BV_Data_An_Cour!$X:$X,$L$2)</f>
        <v>0</v>
      </c>
      <c r="M114" s="297"/>
      <c r="N114" s="298">
        <f t="shared" si="79"/>
        <v>-13532.919106252288</v>
      </c>
      <c r="O114" s="297"/>
      <c r="P114" s="191">
        <f t="shared" si="80"/>
        <v>0</v>
      </c>
      <c r="Q114" s="174">
        <f>SUMIFS(BV_Data_An_Prec!$P:$P,BV_Data_An_Prec!$U:$U,$B114,BV_Data_An_Prec!$V:$V,$C114,BV_Data_An_Prec!$W:$W,$L$2)</f>
        <v>7568.45</v>
      </c>
      <c r="R114" s="297"/>
      <c r="S114" s="193">
        <f t="shared" si="81"/>
        <v>-7568.45</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5"/>
        <v>Véhicules usagésEntretien stock</v>
      </c>
      <c r="B115" s="24" t="s">
        <v>144</v>
      </c>
      <c r="C115" s="320" t="s">
        <v>107</v>
      </c>
      <c r="D115" s="301"/>
      <c r="E115" s="407">
        <f t="shared" si="76"/>
        <v>88.549952830188687</v>
      </c>
      <c r="F115" s="171">
        <f>+SUMPRODUCT(('Budget original'!$A$8:$A$500=$A115)*('Budget original'!$C$3:$AO$3=F$2),'Budget original'!$C$8:$AO$500)</f>
        <v>35759.565902637849</v>
      </c>
      <c r="G115" s="303"/>
      <c r="H115" s="407">
        <f t="shared" si="77"/>
        <v>88.549952830188687</v>
      </c>
      <c r="I115" s="171">
        <f>+SUMPRODUCT(('Budget révisé'!$A$8:$A$500=$A115)*('Budget révisé'!$C$3:$AO$3=I$2),'Budget révisé'!$C$8:$AO$500)</f>
        <v>35759.565902637849</v>
      </c>
      <c r="J115" s="304"/>
      <c r="K115" s="407">
        <f t="shared" si="78"/>
        <v>0</v>
      </c>
      <c r="L115" s="399">
        <f>SUMIFS(BV_Data_An_Cour!$Q:$Q,BV_Data_An_Cour!$V:$V,$B115,BV_Data_An_Cour!$W:$W,$C115,BV_Data_An_Cour!$X:$X,$L$2)</f>
        <v>0</v>
      </c>
      <c r="M115" s="304"/>
      <c r="N115" s="305">
        <f t="shared" si="79"/>
        <v>-35759.565902637849</v>
      </c>
      <c r="O115" s="304"/>
      <c r="P115" s="407">
        <f t="shared" si="80"/>
        <v>0</v>
      </c>
      <c r="Q115" s="399">
        <f>SUMIFS(BV_Data_An_Prec!$P:$P,BV_Data_An_Prec!$U:$U,$B115,BV_Data_An_Prec!$V:$V,$C115,BV_Data_An_Prec!$W:$W,$L$2)</f>
        <v>34449.949999999997</v>
      </c>
      <c r="R115" s="304"/>
      <c r="S115" s="196">
        <f t="shared" si="81"/>
        <v>-34449.949999999997</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5"/>
        <v>Véhicules usagésPublicité 1</v>
      </c>
      <c r="B116" s="24" t="s">
        <v>144</v>
      </c>
      <c r="C116" s="258" t="s">
        <v>108</v>
      </c>
      <c r="D116" s="295"/>
      <c r="E116" s="191">
        <f t="shared" si="76"/>
        <v>42.755319148936181</v>
      </c>
      <c r="F116" s="173">
        <f>+SUMPRODUCT(('Budget original'!$A$8:$A$500=$A116)*('Budget original'!$C$3:$AO$3=F$2),'Budget original'!$C$8:$AO$500)</f>
        <v>17266.092233009713</v>
      </c>
      <c r="G116" s="296"/>
      <c r="H116" s="191">
        <f t="shared" si="77"/>
        <v>42.755319148936181</v>
      </c>
      <c r="I116" s="173">
        <f>+SUMPRODUCT(('Budget révisé'!$A$8:$A$500=$A116)*('Budget révisé'!$C$3:$AO$3=I$2),'Budget révisé'!$C$8:$AO$500)</f>
        <v>17266.092233009713</v>
      </c>
      <c r="J116" s="297"/>
      <c r="K116" s="191">
        <f t="shared" si="78"/>
        <v>0</v>
      </c>
      <c r="L116" s="174">
        <f>SUMIFS(BV_Data_An_Cour!$Q:$Q,BV_Data_An_Cour!$V:$V,$B116,BV_Data_An_Cour!$W:$W,$C116,BV_Data_An_Cour!$X:$X,$L$2)</f>
        <v>0</v>
      </c>
      <c r="M116" s="297"/>
      <c r="N116" s="298">
        <f t="shared" si="79"/>
        <v>-17266.092233009713</v>
      </c>
      <c r="O116" s="297"/>
      <c r="P116" s="191">
        <f t="shared" si="80"/>
        <v>0</v>
      </c>
      <c r="Q116" s="174">
        <f>SUMIFS(BV_Data_An_Prec!$P:$P,BV_Data_An_Prec!$U:$U,$B116,BV_Data_An_Prec!$V:$V,$C116,BV_Data_An_Prec!$W:$W,$L$2)</f>
        <v>30070.699999999997</v>
      </c>
      <c r="R116" s="297"/>
      <c r="S116" s="193">
        <f t="shared" si="81"/>
        <v>-30070.699999999997</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2">+B117&amp;C117</f>
        <v>Véhicules usagésIntérêt de gros</v>
      </c>
      <c r="B117" s="24" t="s">
        <v>144</v>
      </c>
      <c r="C117" s="258" t="s">
        <v>109</v>
      </c>
      <c r="D117" s="295"/>
      <c r="E117" s="191">
        <f t="shared" ref="E117:E119" si="83">F117/D$96</f>
        <v>21.043003630617548</v>
      </c>
      <c r="F117" s="173">
        <f>+SUMPRODUCT(('Budget original'!$A$8:$A$500=$A117)*('Budget original'!$C$3:$AO$3=F$2),'Budget original'!$C$8:$AO$500)</f>
        <v>8497.9003496654059</v>
      </c>
      <c r="G117" s="296"/>
      <c r="H117" s="191">
        <f t="shared" ref="H117:H119" si="84">I117/G$96</f>
        <v>21.043003630617548</v>
      </c>
      <c r="I117" s="173">
        <f>+SUMPRODUCT(('Budget révisé'!$A$8:$A$500=$A117)*('Budget révisé'!$C$3:$AO$3=I$2),'Budget révisé'!$C$8:$AO$500)</f>
        <v>8497.9003496654059</v>
      </c>
      <c r="J117" s="297"/>
      <c r="K117" s="191">
        <f t="shared" ref="K117:K119" si="85">IF($J$96=0,0,L117/(J$94+J$95))</f>
        <v>0</v>
      </c>
      <c r="L117" s="174">
        <f>SUMIFS(BV_Data_An_Cour!$Q:$Q,BV_Data_An_Cour!$V:$V,$B117,BV_Data_An_Cour!$W:$W,$C117,BV_Data_An_Cour!$X:$X,$L$2)</f>
        <v>0</v>
      </c>
      <c r="M117" s="297"/>
      <c r="N117" s="298">
        <f t="shared" ref="N117:N119" si="86">L117-I117</f>
        <v>-8497.9003496654059</v>
      </c>
      <c r="O117" s="297"/>
      <c r="P117" s="191">
        <f t="shared" ref="P117:P119" si="87">IF($J$96=0,0,Q117/(O$94+O$95))</f>
        <v>0</v>
      </c>
      <c r="Q117" s="174">
        <f>SUMIFS(BV_Data_An_Prec!$P:$P,BV_Data_An_Prec!$U:$U,$B117,BV_Data_An_Prec!$V:$V,$C117,BV_Data_An_Prec!$W:$W,$L$2)</f>
        <v>5271.21</v>
      </c>
      <c r="R117" s="297"/>
      <c r="S117" s="193">
        <f t="shared" ref="S117:S119" si="88">L117-Q117</f>
        <v>-5271.21</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2"/>
        <v>Véhicules usagés[...]</v>
      </c>
      <c r="B118" s="24" t="s">
        <v>144</v>
      </c>
      <c r="C118" s="258" t="s">
        <v>42</v>
      </c>
      <c r="D118" s="295"/>
      <c r="E118" s="191">
        <f t="shared" si="83"/>
        <v>0</v>
      </c>
      <c r="F118" s="173">
        <f>+SUMPRODUCT(('Budget original'!$A$8:$A$500=$A118)*('Budget original'!$C$3:$AO$3=F$2),'Budget original'!$C$8:$AO$500)</f>
        <v>0</v>
      </c>
      <c r="G118" s="296"/>
      <c r="H118" s="191">
        <f t="shared" si="84"/>
        <v>0</v>
      </c>
      <c r="I118" s="173">
        <f>+SUMPRODUCT(('Budget révisé'!$A$8:$A$500=$A118)*('Budget révisé'!$C$3:$AO$3=I$2),'Budget révisé'!$C$8:$AO$500)</f>
        <v>0</v>
      </c>
      <c r="J118" s="297"/>
      <c r="K118" s="191">
        <f t="shared" si="85"/>
        <v>0</v>
      </c>
      <c r="L118" s="174">
        <f>SUMIFS(BV_Data_An_Cour!$Q:$Q,BV_Data_An_Cour!$V:$V,$B118,BV_Data_An_Cour!$W:$W,$C118,BV_Data_An_Cour!$X:$X,$L$2)</f>
        <v>0</v>
      </c>
      <c r="M118" s="297"/>
      <c r="N118" s="298">
        <f t="shared" si="86"/>
        <v>0</v>
      </c>
      <c r="O118" s="297"/>
      <c r="P118" s="191">
        <f t="shared" si="87"/>
        <v>0</v>
      </c>
      <c r="Q118" s="174">
        <f>SUMIFS(BV_Data_An_Prec!$P:$P,BV_Data_An_Prec!$U:$U,$B118,BV_Data_An_Prec!$V:$V,$C118,BV_Data_An_Prec!$W:$W,$L$2)</f>
        <v>0</v>
      </c>
      <c r="R118" s="297"/>
      <c r="S118" s="193">
        <f t="shared" si="8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2"/>
        <v>Véhicules usagés[...]</v>
      </c>
      <c r="B119" s="24" t="s">
        <v>144</v>
      </c>
      <c r="C119" s="258" t="s">
        <v>42</v>
      </c>
      <c r="D119" s="295"/>
      <c r="E119" s="191">
        <f t="shared" si="83"/>
        <v>0</v>
      </c>
      <c r="F119" s="173">
        <f>+SUMPRODUCT(('Budget original'!$A$8:$A$500=$A119)*('Budget original'!$C$3:$AO$3=F$2),'Budget original'!$C$8:$AO$500)</f>
        <v>0</v>
      </c>
      <c r="G119" s="296"/>
      <c r="H119" s="191">
        <f t="shared" si="84"/>
        <v>0</v>
      </c>
      <c r="I119" s="173">
        <f>+SUMPRODUCT(('Budget révisé'!$A$8:$A$500=$A119)*('Budget révisé'!$C$3:$AO$3=I$2),'Budget révisé'!$C$8:$AO$500)</f>
        <v>0</v>
      </c>
      <c r="J119" s="297"/>
      <c r="K119" s="191">
        <f t="shared" si="85"/>
        <v>0</v>
      </c>
      <c r="L119" s="174">
        <f>SUMIFS(BV_Data_An_Cour!$Q:$Q,BV_Data_An_Cour!$V:$V,$B119,BV_Data_An_Cour!$W:$W,$C119,BV_Data_An_Cour!$X:$X,$L$2)</f>
        <v>0</v>
      </c>
      <c r="M119" s="297"/>
      <c r="N119" s="298">
        <f t="shared" si="86"/>
        <v>0</v>
      </c>
      <c r="O119" s="297"/>
      <c r="P119" s="191">
        <f t="shared" si="87"/>
        <v>0</v>
      </c>
      <c r="Q119" s="174">
        <f>SUMIFS(BV_Data_An_Prec!$P:$P,BV_Data_An_Prec!$U:$U,$B119,BV_Data_An_Prec!$V:$V,$C119,BV_Data_An_Prec!$W:$W,$L$2)</f>
        <v>0</v>
      </c>
      <c r="R119" s="297"/>
      <c r="S119" s="193">
        <f t="shared" si="8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2"/>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79"/>
        <v>0</v>
      </c>
      <c r="O120" s="297"/>
      <c r="P120" s="191">
        <f>IF($J$96=0,0,Q120/(O$94+O$95))</f>
        <v>0</v>
      </c>
      <c r="Q120" s="174">
        <f>SUMIFS(BV_Data_An_Prec!$P:$P,BV_Data_An_Prec!$U:$U,$B120,BV_Data_An_Prec!$V:$V,$C120,BV_Data_An_Prec!$W:$W,$L$2)</f>
        <v>0</v>
      </c>
      <c r="R120" s="297"/>
      <c r="S120" s="193">
        <f t="shared" si="81"/>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5"/>
        <v>Véhicules usagésTOTAL VARIABLES</v>
      </c>
      <c r="B121" s="24" t="s">
        <v>144</v>
      </c>
      <c r="C121" s="292" t="s">
        <v>110</v>
      </c>
      <c r="D121" s="39" t="s">
        <v>111</v>
      </c>
      <c r="E121" s="40">
        <f>F121/F$107</f>
        <v>0.39715472905829052</v>
      </c>
      <c r="F121" s="41">
        <f>SUM(F111:F120)</f>
        <v>531990.99682367675</v>
      </c>
      <c r="G121" s="42" t="s">
        <v>111</v>
      </c>
      <c r="H121" s="40">
        <f>I121/I$107</f>
        <v>0.39715472905829052</v>
      </c>
      <c r="I121" s="41">
        <f>SUM(I111:I120)</f>
        <v>531990.99682367675</v>
      </c>
      <c r="J121" s="42" t="s">
        <v>111</v>
      </c>
      <c r="K121" s="40" t="e">
        <f>L121/L$107</f>
        <v>#DIV/0!</v>
      </c>
      <c r="L121" s="41">
        <f>SUM(L111:L120)</f>
        <v>0</v>
      </c>
      <c r="M121" s="44"/>
      <c r="N121" s="41">
        <f t="shared" si="79"/>
        <v>-531990.99682367675</v>
      </c>
      <c r="O121" s="42" t="s">
        <v>111</v>
      </c>
      <c r="P121" s="40">
        <f>Q121/Q$107</f>
        <v>0.40347520094523082</v>
      </c>
      <c r="Q121" s="41">
        <f>SUM(Q111:Q120)</f>
        <v>494467.13</v>
      </c>
      <c r="R121" s="44"/>
      <c r="S121" s="310">
        <f t="shared" si="81"/>
        <v>-494467.13</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5"/>
        <v>Véhicules usagésSalaires cadres</v>
      </c>
      <c r="B122" s="24" t="s">
        <v>144</v>
      </c>
      <c r="C122" s="299" t="s">
        <v>112</v>
      </c>
      <c r="D122" s="172"/>
      <c r="E122" s="172"/>
      <c r="F122" s="173">
        <f>+SUMPRODUCT(('Budget original'!$A$8:$A$500=$A122)*('Budget original'!$C$3:$AO$3=F$2),'Budget original'!$C$8:$AO$500)</f>
        <v>80034.308045977028</v>
      </c>
      <c r="G122" s="297"/>
      <c r="H122" s="172"/>
      <c r="I122" s="173">
        <f>+SUMPRODUCT(('Budget révisé'!$A$8:$A$500=$A122)*('Budget révisé'!$C$3:$AO$3=I$2),'Budget révisé'!$C$8:$AO$500)</f>
        <v>80034.308045977028</v>
      </c>
      <c r="J122" s="297"/>
      <c r="K122" s="172"/>
      <c r="L122" s="275">
        <f>SUMIFS(BV_Data_An_Cour!$Q:$Q,BV_Data_An_Cour!$V:$V,$B122,BV_Data_An_Cour!$W:$W,$C122,BV_Data_An_Cour!$X:$X,$L$2)</f>
        <v>0</v>
      </c>
      <c r="M122" s="297"/>
      <c r="N122" s="298">
        <f t="shared" ref="N122:N152" si="89">L122-I122</f>
        <v>-80034.308045977028</v>
      </c>
      <c r="O122" s="297"/>
      <c r="P122" s="172"/>
      <c r="Q122" s="174">
        <f>SUMIFS(BV_Data_An_Prec!$P:$P,BV_Data_An_Prec!$U:$U,$B122,BV_Data_An_Prec!$V:$V,$C122,BV_Data_An_Prec!$W:$W,$L$2)</f>
        <v>98382.58</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5"/>
        <v>Véhicules usagésSalaires commis</v>
      </c>
      <c r="B123" s="24" t="s">
        <v>144</v>
      </c>
      <c r="C123" s="300" t="s">
        <v>113</v>
      </c>
      <c r="D123" s="295"/>
      <c r="E123" s="172"/>
      <c r="F123" s="171">
        <f>+SUMPRODUCT(('Budget original'!$A$8:$A$500=$A123)*('Budget original'!$C$3:$AO$3=F$2),'Budget original'!$C$8:$AO$500)</f>
        <v>21439.242422620693</v>
      </c>
      <c r="G123" s="296"/>
      <c r="H123" s="172"/>
      <c r="I123" s="171">
        <f>+SUMPRODUCT(('Budget révisé'!$A$8:$A$500=$A123)*('Budget révisé'!$C$3:$AO$3=I$2),'Budget révisé'!$C$8:$AO$500)</f>
        <v>21439.242422620693</v>
      </c>
      <c r="J123" s="297"/>
      <c r="K123" s="172"/>
      <c r="L123" s="171">
        <f>SUMIFS(BV_Data_An_Cour!$Q:$Q,BV_Data_An_Cour!$V:$V,$B123,BV_Data_An_Cour!$W:$W,$C123,BV_Data_An_Cour!$X:$X,$L$2)</f>
        <v>0</v>
      </c>
      <c r="M123" s="297"/>
      <c r="N123" s="298">
        <f t="shared" si="89"/>
        <v>-21439.242422620693</v>
      </c>
      <c r="O123" s="297"/>
      <c r="P123" s="172"/>
      <c r="Q123" s="171">
        <f>SUMIFS(BV_Data_An_Prec!$P:$P,BV_Data_An_Prec!$U:$U,$B123,BV_Data_An_Prec!$V:$V,$C123,BV_Data_An_Prec!$W:$W,$L$2)</f>
        <v>20218.46</v>
      </c>
      <c r="R123" s="297"/>
      <c r="S123" s="193">
        <f t="shared" ref="S123:S152" si="90">L123-Q123</f>
        <v>-20218.46</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5"/>
        <v>Véhicules usagésSalaires autres</v>
      </c>
      <c r="B124" s="24" t="s">
        <v>144</v>
      </c>
      <c r="C124" s="299" t="s">
        <v>114</v>
      </c>
      <c r="D124" s="386"/>
      <c r="E124" s="346"/>
      <c r="F124" s="173">
        <f>+SUMPRODUCT(('Budget original'!$A$8:$A$500=$A124)*('Budget original'!$C$3:$AO$3=F$2),'Budget original'!$C$8:$AO$500)</f>
        <v>80408.897690482772</v>
      </c>
      <c r="G124" s="387"/>
      <c r="H124" s="346"/>
      <c r="I124" s="173">
        <f>+SUMPRODUCT(('Budget révisé'!$A$8:$A$500=$A124)*('Budget révisé'!$C$3:$AO$3=I$2),'Budget révisé'!$C$8:$AO$500)</f>
        <v>80408.897690482772</v>
      </c>
      <c r="J124" s="362"/>
      <c r="K124" s="346"/>
      <c r="L124" s="275">
        <f>SUMIFS(BV_Data_An_Cour!$Q:$Q,BV_Data_An_Cour!$V:$V,$B124,BV_Data_An_Cour!$W:$W,$C124,BV_Data_An_Cour!$X:$X,$L$2)</f>
        <v>0</v>
      </c>
      <c r="M124" s="362"/>
      <c r="N124" s="350">
        <f t="shared" si="89"/>
        <v>-80408.897690482772</v>
      </c>
      <c r="O124" s="362"/>
      <c r="P124" s="346"/>
      <c r="Q124" s="174">
        <f>SUMIFS(BV_Data_An_Prec!$P:$P,BV_Data_An_Prec!$U:$U,$B124,BV_Data_An_Prec!$V:$V,$C124,BV_Data_An_Prec!$W:$W,$L$2)</f>
        <v>75196.98</v>
      </c>
      <c r="R124" s="362"/>
      <c r="S124" s="195">
        <f t="shared" si="90"/>
        <v>-75196.98</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5"/>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89"/>
        <v>0</v>
      </c>
      <c r="O125" s="297"/>
      <c r="P125" s="172"/>
      <c r="Q125" s="174">
        <f>SUMIFS(BV_Data_An_Prec!$P:$P,BV_Data_An_Prec!$U:$U,$B125,BV_Data_An_Prec!$V:$V,$C125,BV_Data_An_Prec!$W:$W,$L$2)</f>
        <v>0</v>
      </c>
      <c r="R125" s="297"/>
      <c r="S125" s="193">
        <f t="shared" si="9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1">+B126&amp;C126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2">L126-I126</f>
        <v>0</v>
      </c>
      <c r="O126" s="297"/>
      <c r="P126" s="172"/>
      <c r="Q126" s="174">
        <f>SUMIFS(BV_Data_An_Prec!$P:$P,BV_Data_An_Prec!$U:$U,$B126,BV_Data_An_Prec!$V:$V,$C126,BV_Data_An_Prec!$W:$W,$L$2)</f>
        <v>0</v>
      </c>
      <c r="R126" s="297"/>
      <c r="S126" s="193">
        <f t="shared" ref="S126:S129" si="93">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1"/>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2"/>
        <v>0</v>
      </c>
      <c r="O127" s="297"/>
      <c r="P127" s="172"/>
      <c r="Q127" s="174">
        <f>SUMIFS(BV_Data_An_Prec!$P:$P,BV_Data_An_Prec!$U:$U,$B127,BV_Data_An_Prec!$V:$V,$C127,BV_Data_An_Prec!$W:$W,$L$2)</f>
        <v>0</v>
      </c>
      <c r="R127" s="297"/>
      <c r="S127" s="193">
        <f t="shared" si="93"/>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1"/>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2"/>
        <v>0</v>
      </c>
      <c r="O128" s="297"/>
      <c r="P128" s="172"/>
      <c r="Q128" s="174">
        <f>SUMIFS(BV_Data_An_Prec!$P:$P,BV_Data_An_Prec!$U:$U,$B128,BV_Data_An_Prec!$V:$V,$C128,BV_Data_An_Prec!$W:$W,$L$2)</f>
        <v>0</v>
      </c>
      <c r="R128" s="297"/>
      <c r="S128" s="193">
        <f t="shared" si="93"/>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5"/>
        <v>Véhicules usagésSalaires en absences</v>
      </c>
      <c r="B129" s="24" t="s">
        <v>144</v>
      </c>
      <c r="C129" s="300" t="s">
        <v>116</v>
      </c>
      <c r="D129" s="295"/>
      <c r="E129" s="172"/>
      <c r="F129" s="173">
        <f>+SUMPRODUCT(('Budget original'!$A$8:$A$500=$A129)*('Budget original'!$C$3:$AO$3=F$2),'Budget original'!$C$8:$AO$500)</f>
        <v>71288.361953798405</v>
      </c>
      <c r="G129" s="296"/>
      <c r="H129" s="172"/>
      <c r="I129" s="173">
        <f>+SUMPRODUCT(('Budget révisé'!$A$8:$A$500=$A129)*('Budget révisé'!$C$3:$AO$3=I$2),'Budget révisé'!$C$8:$AO$500)</f>
        <v>71288.361953798405</v>
      </c>
      <c r="J129" s="297"/>
      <c r="K129" s="172"/>
      <c r="L129" s="174">
        <f>SUMIFS(BV_Data_An_Cour!$Q:$Q,BV_Data_An_Cour!$V:$V,$B129,BV_Data_An_Cour!$W:$W,$C129,BV_Data_An_Cour!$X:$X,$L$2)</f>
        <v>0</v>
      </c>
      <c r="M129" s="297"/>
      <c r="N129" s="298">
        <f t="shared" si="92"/>
        <v>-71288.361953798405</v>
      </c>
      <c r="O129" s="297"/>
      <c r="P129" s="172"/>
      <c r="Q129" s="174">
        <f>SUMIFS(BV_Data_An_Prec!$P:$P,BV_Data_An_Prec!$U:$U,$B129,BV_Data_An_Prec!$V:$V,$C129,BV_Data_An_Prec!$W:$W,$L$2)</f>
        <v>34653.61</v>
      </c>
      <c r="R129" s="297"/>
      <c r="S129" s="193">
        <f t="shared" si="93"/>
        <v>-34653.61</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5"/>
        <v>Véhicules usagésDéduction à la source</v>
      </c>
      <c r="B130" s="24" t="s">
        <v>144</v>
      </c>
      <c r="C130" s="274" t="s">
        <v>117</v>
      </c>
      <c r="D130" s="279"/>
      <c r="E130" s="280"/>
      <c r="F130" s="626">
        <f>+SUMPRODUCT(('Budget original'!$A$8:$A$500=$A130)*('Budget original'!$C$3:$AO$3=F$2),'Budget original'!$C$8:$AO$500)</f>
        <v>63846.035595151458</v>
      </c>
      <c r="G130" s="281"/>
      <c r="H130" s="280"/>
      <c r="I130" s="626">
        <f>+SUMPRODUCT(('Budget révisé'!$A$8:$A$500=$A130)*('Budget révisé'!$C$3:$AO$3=I$2),'Budget révisé'!$C$8:$AO$500)</f>
        <v>63846.035595151458</v>
      </c>
      <c r="J130" s="282"/>
      <c r="K130" s="280"/>
      <c r="L130" s="627">
        <f>SUMIFS(BV_Data_An_Cour!$Q:$Q,BV_Data_An_Cour!$V:$V,$B130,BV_Data_An_Cour!$W:$W,$C130,BV_Data_An_Cour!$X:$X,$L$2)</f>
        <v>0</v>
      </c>
      <c r="M130" s="282"/>
      <c r="N130" s="350">
        <f t="shared" si="89"/>
        <v>-63846.035595151458</v>
      </c>
      <c r="O130" s="282"/>
      <c r="P130" s="280"/>
      <c r="Q130" s="627">
        <f>SUMIFS(BV_Data_An_Prec!$P:$P,BV_Data_An_Prec!$U:$U,$B130,BV_Data_An_Prec!$V:$V,$C130,BV_Data_An_Prec!$W:$W,$L$2)</f>
        <v>59331.55</v>
      </c>
      <c r="R130" s="282"/>
      <c r="S130" s="284">
        <f t="shared" si="90"/>
        <v>-59331.55</v>
      </c>
      <c r="T130" s="216"/>
      <c r="U130" s="955">
        <f>L130-Print_Mois!L130</f>
        <v>0</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5"/>
        <v>Véhicules usagésBénéfices marginaux</v>
      </c>
      <c r="B131" s="24" t="s">
        <v>144</v>
      </c>
      <c r="C131" s="274" t="s">
        <v>118</v>
      </c>
      <c r="D131" s="256"/>
      <c r="E131" s="227"/>
      <c r="F131" s="225">
        <f>+SUMPRODUCT(('Budget original'!$A$8:$A$500=$A131)*('Budget original'!$C$3:$AO$3=F$2),'Budget original'!$C$8:$AO$500)</f>
        <v>50701.263560855572</v>
      </c>
      <c r="G131" s="277"/>
      <c r="H131" s="227"/>
      <c r="I131" s="225">
        <f>+SUMPRODUCT(('Budget révisé'!$A$8:$A$500=$A131)*('Budget révisé'!$C$3:$AO$3=I$2),'Budget révisé'!$C$8:$AO$500)</f>
        <v>50701.263560855572</v>
      </c>
      <c r="J131" s="221"/>
      <c r="K131" s="227"/>
      <c r="L131" s="275">
        <f>SUMIFS(BV_Data_An_Cour!$Q:$Q,BV_Data_An_Cour!$V:$V,$B131,BV_Data_An_Cour!$W:$W,$C131,BV_Data_An_Cour!$X:$X,$L$2)</f>
        <v>0</v>
      </c>
      <c r="M131" s="221"/>
      <c r="N131" s="298">
        <f t="shared" si="89"/>
        <v>-50701.263560855572</v>
      </c>
      <c r="O131" s="221"/>
      <c r="P131" s="227"/>
      <c r="Q131" s="275">
        <f>SUMIFS(BV_Data_An_Prec!$P:$P,BV_Data_An_Prec!$U:$U,$B131,BV_Data_An_Prec!$V:$V,$C131,BV_Data_An_Prec!$W:$W,$L$2)</f>
        <v>42520.94</v>
      </c>
      <c r="R131" s="221"/>
      <c r="S131" s="278">
        <f t="shared" si="90"/>
        <v>-42520.94</v>
      </c>
      <c r="T131" s="227"/>
      <c r="U131" s="955">
        <f>L131-Print_Mois!L131</f>
        <v>0</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5"/>
        <v>Véhicules usagésCsst</v>
      </c>
      <c r="B132" s="24" t="s">
        <v>144</v>
      </c>
      <c r="C132" s="274" t="s">
        <v>119</v>
      </c>
      <c r="D132" s="256"/>
      <c r="E132" s="227"/>
      <c r="F132" s="225">
        <f>+SUMPRODUCT(('Budget original'!$A$8:$A$500=$A132)*('Budget original'!$C$3:$AO$3=F$2),'Budget original'!$C$8:$AO$500)</f>
        <v>20656.070339607828</v>
      </c>
      <c r="G132" s="277"/>
      <c r="H132" s="227"/>
      <c r="I132" s="225">
        <f>+SUMPRODUCT(('Budget révisé'!$A$8:$A$500=$A132)*('Budget révisé'!$C$3:$AO$3=I$2),'Budget révisé'!$C$8:$AO$500)</f>
        <v>20656.070339607828</v>
      </c>
      <c r="J132" s="221"/>
      <c r="K132" s="227"/>
      <c r="L132" s="275">
        <f>SUMIFS(BV_Data_An_Cour!$Q:$Q,BV_Data_An_Cour!$V:$V,$B132,BV_Data_An_Cour!$W:$W,$C132,BV_Data_An_Cour!$X:$X,$L$2)</f>
        <v>0</v>
      </c>
      <c r="M132" s="221"/>
      <c r="N132" s="298">
        <f t="shared" si="89"/>
        <v>-20656.070339607828</v>
      </c>
      <c r="O132" s="221"/>
      <c r="P132" s="227"/>
      <c r="Q132" s="275">
        <f>SUMIFS(BV_Data_An_Prec!$P:$P,BV_Data_An_Prec!$U:$U,$B132,BV_Data_An_Prec!$V:$V,$C132,BV_Data_An_Prec!$W:$W,$L$2)</f>
        <v>9888.59</v>
      </c>
      <c r="R132" s="221"/>
      <c r="S132" s="278">
        <f t="shared" si="90"/>
        <v>-9888.59</v>
      </c>
      <c r="T132" s="227"/>
      <c r="U132" s="955">
        <f>L132-Print_Mois!L132</f>
        <v>0</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5"/>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89"/>
        <v>0</v>
      </c>
      <c r="O133" s="289"/>
      <c r="P133" s="287"/>
      <c r="Q133" s="275">
        <f>SUMIFS(BV_Data_An_Prec!$P:$P,BV_Data_An_Prec!$U:$U,$B133,BV_Data_An_Prec!$V:$V,$C133,BV_Data_An_Prec!$W:$W,$L$2)</f>
        <v>0</v>
      </c>
      <c r="R133" s="289"/>
      <c r="S133" s="291">
        <f t="shared" si="9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5"/>
        <v>Véhicules usagésTOTAL PERSONNEL</v>
      </c>
      <c r="B134" s="24" t="s">
        <v>144</v>
      </c>
      <c r="C134" s="292" t="s">
        <v>120</v>
      </c>
      <c r="D134" s="39" t="s">
        <v>111</v>
      </c>
      <c r="E134" s="40">
        <f>F134/F$107</f>
        <v>0.28993844444095002</v>
      </c>
      <c r="F134" s="41">
        <f>+SUM(F122:F133)</f>
        <v>388374.17960849381</v>
      </c>
      <c r="G134" s="42" t="s">
        <v>111</v>
      </c>
      <c r="H134" s="40">
        <f>I134/I$107</f>
        <v>0.28993844444095002</v>
      </c>
      <c r="I134" s="41">
        <f>+SUM(I122:I133)</f>
        <v>388374.17960849381</v>
      </c>
      <c r="J134" s="42" t="s">
        <v>111</v>
      </c>
      <c r="K134" s="40" t="e">
        <f>L134/L$107</f>
        <v>#DIV/0!</v>
      </c>
      <c r="L134" s="41">
        <f>SUM(L122:L133)</f>
        <v>0</v>
      </c>
      <c r="M134" s="43"/>
      <c r="N134" s="46">
        <f t="shared" si="89"/>
        <v>-388374.17960849381</v>
      </c>
      <c r="O134" s="42" t="s">
        <v>111</v>
      </c>
      <c r="P134" s="40">
        <f>Q134/Q$107</f>
        <v>0.27759038710490752</v>
      </c>
      <c r="Q134" s="41">
        <f>SUM(Q122:Q133)</f>
        <v>340192.71</v>
      </c>
      <c r="R134" s="43"/>
      <c r="S134" s="293">
        <f t="shared" si="90"/>
        <v>-340192.71</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5"/>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89"/>
        <v>0</v>
      </c>
      <c r="O135" s="297"/>
      <c r="P135" s="172"/>
      <c r="Q135" s="275">
        <f>SUMIFS(BV_Data_An_Prec!$P:$P,BV_Data_An_Prec!$U:$U,$B135,BV_Data_An_Prec!$V:$V,$C135,BV_Data_An_Prec!$W:$W,$L$2)</f>
        <v>0</v>
      </c>
      <c r="R135" s="297"/>
      <c r="S135" s="193">
        <f t="shared" si="90"/>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5"/>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89"/>
        <v>0</v>
      </c>
      <c r="O136" s="297"/>
      <c r="P136" s="172"/>
      <c r="Q136" s="174">
        <f>SUMIFS(BV_Data_An_Prec!$P:$P,BV_Data_An_Prec!$U:$U,$B136,BV_Data_An_Prec!$V:$V,$C136,BV_Data_An_Prec!$W:$W,$L$2)</f>
        <v>0</v>
      </c>
      <c r="R136" s="297"/>
      <c r="S136" s="193">
        <f t="shared" si="90"/>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5"/>
        <v>Véhicules usagésFrais véhicules de cie</v>
      </c>
      <c r="B137" s="24" t="s">
        <v>144</v>
      </c>
      <c r="C137" s="320" t="s">
        <v>123</v>
      </c>
      <c r="D137" s="301"/>
      <c r="E137" s="302"/>
      <c r="F137" s="171">
        <f>+SUMPRODUCT(('Budget original'!$A$8:$A$500=$A137)*('Budget original'!$C$3:$AO$3=F$2),'Budget original'!$C$8:$AO$500)</f>
        <v>1250.3999999999999</v>
      </c>
      <c r="G137" s="303"/>
      <c r="H137" s="302"/>
      <c r="I137" s="171">
        <f>+SUMPRODUCT(('Budget révisé'!$A$8:$A$500=$A137)*('Budget révisé'!$C$3:$AO$3=I$2),'Budget révisé'!$C$8:$AO$500)</f>
        <v>1250.3999999999999</v>
      </c>
      <c r="J137" s="304"/>
      <c r="K137" s="302"/>
      <c r="L137" s="238">
        <f>SUMIFS(BV_Data_An_Cour!$Q:$Q,BV_Data_An_Cour!$V:$V,$B137,BV_Data_An_Cour!$W:$W,$C137,BV_Data_An_Cour!$X:$X,$L$2)</f>
        <v>0</v>
      </c>
      <c r="M137" s="304"/>
      <c r="N137" s="305">
        <f t="shared" si="89"/>
        <v>-1250.3999999999999</v>
      </c>
      <c r="O137" s="304"/>
      <c r="P137" s="302"/>
      <c r="Q137" s="171">
        <f>SUMIFS(BV_Data_An_Prec!$P:$P,BV_Data_An_Prec!$U:$U,$B137,BV_Data_An_Prec!$V:$V,$C137,BV_Data_An_Prec!$W:$W,$L$2)</f>
        <v>-3429.95</v>
      </c>
      <c r="R137" s="304"/>
      <c r="S137" s="196">
        <f t="shared" si="90"/>
        <v>3429.95</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5"/>
        <v>Véhicules usagésInformatique</v>
      </c>
      <c r="B138" s="24" t="s">
        <v>144</v>
      </c>
      <c r="C138" s="258" t="s">
        <v>124</v>
      </c>
      <c r="D138" s="295"/>
      <c r="E138" s="172"/>
      <c r="F138" s="173">
        <f>+SUMPRODUCT(('Budget original'!$A$8:$A$500=$A138)*('Budget original'!$C$3:$AO$3=F$2),'Budget original'!$C$8:$AO$500)</f>
        <v>24283.6891</v>
      </c>
      <c r="G138" s="296"/>
      <c r="H138" s="172"/>
      <c r="I138" s="173">
        <f>+SUMPRODUCT(('Budget révisé'!$A$8:$A$500=$A138)*('Budget révisé'!$C$3:$AO$3=I$2),'Budget révisé'!$C$8:$AO$500)</f>
        <v>24283.6891</v>
      </c>
      <c r="J138" s="297"/>
      <c r="K138" s="172"/>
      <c r="L138" s="275">
        <f>SUMIFS(BV_Data_An_Cour!$Q:$Q,BV_Data_An_Cour!$V:$V,$B138,BV_Data_An_Cour!$W:$W,$C138,BV_Data_An_Cour!$X:$X,$L$2)</f>
        <v>0</v>
      </c>
      <c r="M138" s="297"/>
      <c r="N138" s="298">
        <f t="shared" si="89"/>
        <v>-24283.6891</v>
      </c>
      <c r="O138" s="297"/>
      <c r="P138" s="172"/>
      <c r="Q138" s="174">
        <f>SUMIFS(BV_Data_An_Prec!$P:$P,BV_Data_An_Prec!$U:$U,$B138,BV_Data_An_Prec!$V:$V,$C138,BV_Data_An_Prec!$W:$W,$L$2)</f>
        <v>18382.2</v>
      </c>
      <c r="R138" s="297"/>
      <c r="S138" s="193">
        <f t="shared" si="90"/>
        <v>-18382.2</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5"/>
        <v>Véhicules usagésFrais de déplacement</v>
      </c>
      <c r="B139" s="24" t="s">
        <v>144</v>
      </c>
      <c r="C139" s="258" t="s">
        <v>125</v>
      </c>
      <c r="D139" s="295"/>
      <c r="E139" s="172"/>
      <c r="F139" s="173">
        <f>+SUMPRODUCT(('Budget original'!$A$8:$A$500=$A139)*('Budget original'!$C$3:$AO$3=F$2),'Budget original'!$C$8:$AO$500)</f>
        <v>2970.5317500000001</v>
      </c>
      <c r="G139" s="296"/>
      <c r="H139" s="172"/>
      <c r="I139" s="173">
        <f>+SUMPRODUCT(('Budget révisé'!$A$8:$A$500=$A139)*('Budget révisé'!$C$3:$AO$3=I$2),'Budget révisé'!$C$8:$AO$500)</f>
        <v>2970.5317500000001</v>
      </c>
      <c r="J139" s="297"/>
      <c r="K139" s="172"/>
      <c r="L139" s="275">
        <f>SUMIFS(BV_Data_An_Cour!$Q:$Q,BV_Data_An_Cour!$V:$V,$B139,BV_Data_An_Cour!$W:$W,$C139,BV_Data_An_Cour!$X:$X,$L$2)</f>
        <v>0</v>
      </c>
      <c r="M139" s="297"/>
      <c r="N139" s="298">
        <f t="shared" si="89"/>
        <v>-2970.5317500000001</v>
      </c>
      <c r="O139" s="297"/>
      <c r="P139" s="172"/>
      <c r="Q139" s="174">
        <f>SUMIFS(BV_Data_An_Prec!$P:$P,BV_Data_An_Prec!$U:$U,$B139,BV_Data_An_Prec!$V:$V,$C139,BV_Data_An_Prec!$W:$W,$L$2)</f>
        <v>2231.3200000000002</v>
      </c>
      <c r="R139" s="297"/>
      <c r="S139" s="193">
        <f t="shared" si="90"/>
        <v>-2231.3200000000002</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5"/>
        <v>Véhicules usagésServices extérieurs</v>
      </c>
      <c r="B140" s="24" t="s">
        <v>144</v>
      </c>
      <c r="C140" s="320" t="s">
        <v>126</v>
      </c>
      <c r="D140" s="301"/>
      <c r="E140" s="302"/>
      <c r="F140" s="171">
        <f>+SUMPRODUCT(('Budget original'!$A$8:$A$500=$A140)*('Budget original'!$C$3:$AO$3=F$2),'Budget original'!$C$8:$AO$500)</f>
        <v>14761.515066666667</v>
      </c>
      <c r="G140" s="303"/>
      <c r="H140" s="302"/>
      <c r="I140" s="171">
        <f>+SUMPRODUCT(('Budget révisé'!$A$8:$A$500=$A140)*('Budget révisé'!$C$3:$AO$3=I$2),'Budget révisé'!$C$8:$AO$500)</f>
        <v>14761.515066666667</v>
      </c>
      <c r="J140" s="304"/>
      <c r="K140" s="302"/>
      <c r="L140" s="238">
        <f>SUMIFS(BV_Data_An_Cour!$Q:$Q,BV_Data_An_Cour!$V:$V,$B140,BV_Data_An_Cour!$W:$W,$C140,BV_Data_An_Cour!$X:$X,$L$2)</f>
        <v>0</v>
      </c>
      <c r="M140" s="304"/>
      <c r="N140" s="305">
        <f t="shared" si="89"/>
        <v>-14761.515066666667</v>
      </c>
      <c r="O140" s="304"/>
      <c r="P140" s="302"/>
      <c r="Q140" s="171">
        <f>SUMIFS(BV_Data_An_Prec!$P:$P,BV_Data_An_Prec!$U:$U,$B140,BV_Data_An_Prec!$V:$V,$C140,BV_Data_An_Prec!$W:$W,$L$2)</f>
        <v>10402.530000000001</v>
      </c>
      <c r="R140" s="304"/>
      <c r="S140" s="196">
        <f t="shared" si="90"/>
        <v>-10402.530000000001</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5"/>
        <v>Véhicules usagésFournitures autres</v>
      </c>
      <c r="B141" s="24" t="s">
        <v>144</v>
      </c>
      <c r="C141" s="258" t="s">
        <v>127</v>
      </c>
      <c r="D141" s="295"/>
      <c r="E141" s="172"/>
      <c r="F141" s="173">
        <f>+SUMPRODUCT(('Budget original'!$A$8:$A$500=$A141)*('Budget original'!$C$3:$AO$3=F$2),'Budget original'!$C$8:$AO$500)</f>
        <v>855.71216443970923</v>
      </c>
      <c r="G141" s="296"/>
      <c r="H141" s="172"/>
      <c r="I141" s="173">
        <f>+SUMPRODUCT(('Budget révisé'!$A$8:$A$500=$A141)*('Budget révisé'!$C$3:$AO$3=I$2),'Budget révisé'!$C$8:$AO$500)</f>
        <v>855.71216443970923</v>
      </c>
      <c r="J141" s="297"/>
      <c r="K141" s="172"/>
      <c r="L141" s="275">
        <f>SUMIFS(BV_Data_An_Cour!$Q:$Q,BV_Data_An_Cour!$V:$V,$B141,BV_Data_An_Cour!$W:$W,$C141,BV_Data_An_Cour!$X:$X,$L$2)</f>
        <v>0</v>
      </c>
      <c r="M141" s="297"/>
      <c r="N141" s="298">
        <f t="shared" si="89"/>
        <v>-855.71216443970923</v>
      </c>
      <c r="O141" s="297"/>
      <c r="P141" s="172"/>
      <c r="Q141" s="174">
        <f>SUMIFS(BV_Data_An_Prec!$P:$P,BV_Data_An_Prec!$U:$U,$B141,BV_Data_An_Prec!$V:$V,$C141,BV_Data_An_Prec!$W:$W,$L$2)</f>
        <v>562.9</v>
      </c>
      <c r="R141" s="297"/>
      <c r="S141" s="193">
        <f t="shared" si="90"/>
        <v>-562.9</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5"/>
        <v>Véhicules usagésUniformes</v>
      </c>
      <c r="B142" s="24" t="s">
        <v>144</v>
      </c>
      <c r="C142" s="258" t="s">
        <v>128</v>
      </c>
      <c r="D142" s="295"/>
      <c r="E142" s="172"/>
      <c r="F142" s="173">
        <f>+SUMPRODUCT(('Budget original'!$A$8:$A$500=$A142)*('Budget original'!$C$3:$AO$3=F$2),'Budget original'!$C$8:$AO$500)</f>
        <v>454.7029494085304</v>
      </c>
      <c r="G142" s="296"/>
      <c r="H142" s="172"/>
      <c r="I142" s="173">
        <f>+SUMPRODUCT(('Budget révisé'!$A$8:$A$500=$A142)*('Budget révisé'!$C$3:$AO$3=I$2),'Budget révisé'!$C$8:$AO$500)</f>
        <v>454.7029494085304</v>
      </c>
      <c r="J142" s="297"/>
      <c r="K142" s="172"/>
      <c r="L142" s="275">
        <f>SUMIFS(BV_Data_An_Cour!$Q:$Q,BV_Data_An_Cour!$V:$V,$B142,BV_Data_An_Cour!$W:$W,$C142,BV_Data_An_Cour!$X:$X,$L$2)</f>
        <v>0</v>
      </c>
      <c r="M142" s="297"/>
      <c r="N142" s="298">
        <f t="shared" si="89"/>
        <v>-454.7029494085304</v>
      </c>
      <c r="O142" s="297"/>
      <c r="P142" s="172"/>
      <c r="Q142" s="174">
        <f>SUMIFS(BV_Data_An_Prec!$P:$P,BV_Data_An_Prec!$U:$U,$B142,BV_Data_An_Prec!$V:$V,$C142,BV_Data_An_Prec!$W:$W,$L$2)</f>
        <v>0</v>
      </c>
      <c r="R142" s="297"/>
      <c r="S142" s="193">
        <f t="shared" si="90"/>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5"/>
        <v>Véhicules usagésPapeterie</v>
      </c>
      <c r="B143" s="24" t="s">
        <v>144</v>
      </c>
      <c r="C143" s="258" t="s">
        <v>129</v>
      </c>
      <c r="D143" s="295"/>
      <c r="E143" s="172"/>
      <c r="F143" s="173">
        <f>+SUMPRODUCT(('Budget original'!$A$8:$A$500=$A143)*('Budget original'!$C$3:$AO$3=F$2),'Budget original'!$C$8:$AO$500)</f>
        <v>2448.2412000000004</v>
      </c>
      <c r="G143" s="296"/>
      <c r="H143" s="172"/>
      <c r="I143" s="173">
        <f>+SUMPRODUCT(('Budget révisé'!$A$8:$A$500=$A143)*('Budget révisé'!$C$3:$AO$3=I$2),'Budget révisé'!$C$8:$AO$500)</f>
        <v>2448.2412000000004</v>
      </c>
      <c r="J143" s="297"/>
      <c r="K143" s="172"/>
      <c r="L143" s="961">
        <f>SUMIFS(BV_Data_An_Cour!$Q:$Q,BV_Data_An_Cour!$V:$V,$B143,BV_Data_An_Cour!$W:$W,$C143,BV_Data_An_Cour!$X:$X,$L$2)</f>
        <v>0</v>
      </c>
      <c r="M143" s="297"/>
      <c r="N143" s="298">
        <f t="shared" si="89"/>
        <v>-2448.2412000000004</v>
      </c>
      <c r="O143" s="297"/>
      <c r="P143" s="172"/>
      <c r="Q143" s="548">
        <f>SUMIFS(BV_Data_An_Prec!$P:$P,BV_Data_An_Prec!$U:$U,$B143,BV_Data_An_Prec!$V:$V,$C143,BV_Data_An_Prec!$W:$W,$L$2)</f>
        <v>2368.09</v>
      </c>
      <c r="R143" s="297"/>
      <c r="S143" s="193">
        <f t="shared" si="90"/>
        <v>-2368.09</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5"/>
        <v>Véhicules usagésTéléphone</v>
      </c>
      <c r="B144" s="24" t="s">
        <v>144</v>
      </c>
      <c r="C144" s="258" t="s">
        <v>130</v>
      </c>
      <c r="D144" s="295"/>
      <c r="E144" s="172"/>
      <c r="F144" s="173">
        <f>+SUMPRODUCT(('Budget original'!$A$8:$A$500=$A144)*('Budget original'!$C$3:$AO$3=F$2),'Budget original'!$C$8:$AO$500)</f>
        <v>1130.4919750000001</v>
      </c>
      <c r="G144" s="296"/>
      <c r="H144" s="172"/>
      <c r="I144" s="173">
        <f>+SUMPRODUCT(('Budget révisé'!$A$8:$A$500=$A144)*('Budget révisé'!$C$3:$AO$3=I$2),'Budget révisé'!$C$8:$AO$500)</f>
        <v>1130.4919750000001</v>
      </c>
      <c r="J144" s="297"/>
      <c r="K144" s="172"/>
      <c r="L144" s="275">
        <f>SUMIFS(BV_Data_An_Cour!$Q:$Q,BV_Data_An_Cour!$V:$V,$B144,BV_Data_An_Cour!$W:$W,$C144,BV_Data_An_Cour!$X:$X,$L$2)</f>
        <v>0</v>
      </c>
      <c r="M144" s="297"/>
      <c r="N144" s="298">
        <f t="shared" si="89"/>
        <v>-1130.4919750000001</v>
      </c>
      <c r="O144" s="297"/>
      <c r="P144" s="172"/>
      <c r="Q144" s="174">
        <f>SUMIFS(BV_Data_An_Prec!$P:$P,BV_Data_An_Prec!$U:$U,$B144,BV_Data_An_Prec!$V:$V,$C144,BV_Data_An_Prec!$W:$W,$L$2)</f>
        <v>731.95</v>
      </c>
      <c r="R144" s="297"/>
      <c r="S144" s="193">
        <f t="shared" si="90"/>
        <v>-731.95</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5"/>
        <v>Véhicules usagésFrais postaux</v>
      </c>
      <c r="B145" s="24" t="s">
        <v>144</v>
      </c>
      <c r="C145" s="258" t="s">
        <v>131</v>
      </c>
      <c r="D145" s="295"/>
      <c r="E145" s="172"/>
      <c r="F145" s="173">
        <f>+SUMPRODUCT(('Budget original'!$A$8:$A$500=$A145)*('Budget original'!$C$3:$AO$3=F$2),'Budget original'!$C$8:$AO$500)</f>
        <v>603.43902500000002</v>
      </c>
      <c r="G145" s="296"/>
      <c r="H145" s="172"/>
      <c r="I145" s="173">
        <f>+SUMPRODUCT(('Budget révisé'!$A$8:$A$500=$A145)*('Budget révisé'!$C$3:$AO$3=I$2),'Budget révisé'!$C$8:$AO$500)</f>
        <v>603.43902500000002</v>
      </c>
      <c r="J145" s="297"/>
      <c r="K145" s="172"/>
      <c r="L145" s="275">
        <f>SUMIFS(BV_Data_An_Cour!$Q:$Q,BV_Data_An_Cour!$V:$V,$B145,BV_Data_An_Cour!$W:$W,$C145,BV_Data_An_Cour!$X:$X,$L$2)</f>
        <v>0</v>
      </c>
      <c r="M145" s="297"/>
      <c r="N145" s="298">
        <f t="shared" si="89"/>
        <v>-603.43902500000002</v>
      </c>
      <c r="O145" s="297"/>
      <c r="P145" s="172"/>
      <c r="Q145" s="174">
        <f>SUMIFS(BV_Data_An_Prec!$P:$P,BV_Data_An_Prec!$U:$U,$B145,BV_Data_An_Prec!$V:$V,$C145,BV_Data_An_Prec!$W:$W,$L$2)</f>
        <v>786.21</v>
      </c>
      <c r="R145" s="297"/>
      <c r="S145" s="193">
        <f t="shared" si="90"/>
        <v>-786.21</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5"/>
        <v>Véhicules usagésDivers</v>
      </c>
      <c r="B146" s="24" t="s">
        <v>144</v>
      </c>
      <c r="C146" s="258" t="s">
        <v>132</v>
      </c>
      <c r="D146" s="295"/>
      <c r="E146" s="172"/>
      <c r="F146" s="173">
        <f>+SUMPRODUCT(('Budget original'!$A$8:$A$500=$A146)*('Budget original'!$C$3:$AO$3=F$2),'Budget original'!$C$8:$AO$500)</f>
        <v>2910.875974999999</v>
      </c>
      <c r="G146" s="296"/>
      <c r="H146" s="172"/>
      <c r="I146" s="173">
        <f>+SUMPRODUCT(('Budget révisé'!$A$8:$A$500=$A146)*('Budget révisé'!$C$3:$AO$3=I$2),'Budget révisé'!$C$8:$AO$500)</f>
        <v>2910.875974999999</v>
      </c>
      <c r="J146" s="297"/>
      <c r="K146" s="172"/>
      <c r="L146" s="275">
        <f>SUMIFS(BV_Data_An_Cour!$Q:$Q,BV_Data_An_Cour!$V:$V,$B146,BV_Data_An_Cour!$W:$W,$C146,BV_Data_An_Cour!$X:$X,$L$2)</f>
        <v>0</v>
      </c>
      <c r="M146" s="297"/>
      <c r="N146" s="298">
        <f t="shared" si="89"/>
        <v>-2910.875974999999</v>
      </c>
      <c r="O146" s="297"/>
      <c r="P146" s="172"/>
      <c r="Q146" s="174">
        <f>SUMIFS(BV_Data_An_Prec!$P:$P,BV_Data_An_Prec!$U:$U,$B146,BV_Data_An_Prec!$V:$V,$C146,BV_Data_An_Prec!$W:$W,$L$2)</f>
        <v>2766.24</v>
      </c>
      <c r="R146" s="297"/>
      <c r="S146" s="193">
        <f t="shared" si="90"/>
        <v>-2766.24</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5"/>
        <v>Véhicules usagésFormation</v>
      </c>
      <c r="B147" s="24" t="s">
        <v>144</v>
      </c>
      <c r="C147" s="258" t="s">
        <v>133</v>
      </c>
      <c r="D147" s="295"/>
      <c r="E147" s="172"/>
      <c r="F147" s="173">
        <f>+SUMPRODUCT(('Budget original'!$A$8:$A$500=$A147)*('Budget original'!$C$3:$AO$3=F$2),'Budget original'!$C$8:$AO$500)</f>
        <v>4324.7109999999984</v>
      </c>
      <c r="G147" s="296"/>
      <c r="H147" s="172"/>
      <c r="I147" s="173">
        <f>+SUMPRODUCT(('Budget révisé'!$A$8:$A$500=$A147)*('Budget révisé'!$C$3:$AO$3=I$2),'Budget révisé'!$C$8:$AO$500)</f>
        <v>4324.7109999999984</v>
      </c>
      <c r="J147" s="297"/>
      <c r="K147" s="172"/>
      <c r="L147" s="275">
        <f>SUMIFS(BV_Data_An_Cour!$Q:$Q,BV_Data_An_Cour!$V:$V,$B147,BV_Data_An_Cour!$W:$W,$C147,BV_Data_An_Cour!$X:$X,$L$2)</f>
        <v>0</v>
      </c>
      <c r="M147" s="297"/>
      <c r="N147" s="298">
        <f t="shared" si="89"/>
        <v>-4324.7109999999984</v>
      </c>
      <c r="O147" s="297"/>
      <c r="P147" s="172"/>
      <c r="Q147" s="174">
        <f>SUMIFS(BV_Data_An_Prec!$P:$P,BV_Data_An_Prec!$U:$U,$B147,BV_Data_An_Prec!$V:$V,$C147,BV_Data_An_Prec!$W:$W,$L$2)</f>
        <v>706.2</v>
      </c>
      <c r="R147" s="297"/>
      <c r="S147" s="193">
        <f t="shared" si="90"/>
        <v>-706.2</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4">+B148&amp;C148</f>
        <v>Véhicules usagésFrais bancaires</v>
      </c>
      <c r="B148" s="24" t="s">
        <v>144</v>
      </c>
      <c r="C148" s="258" t="s">
        <v>134</v>
      </c>
      <c r="D148" s="295"/>
      <c r="E148" s="172"/>
      <c r="F148" s="173">
        <f>+SUMPRODUCT(('Budget original'!$A$8:$A$500=$A148)*('Budget original'!$C$3:$AO$3=F$2),'Budget original'!$C$8:$AO$500)</f>
        <v>8112.7942719494722</v>
      </c>
      <c r="G148" s="296"/>
      <c r="H148" s="172"/>
      <c r="I148" s="173">
        <f>+SUMPRODUCT(('Budget révisé'!$A$8:$A$500=$A148)*('Budget révisé'!$C$3:$AO$3=I$2),'Budget révisé'!$C$8:$AO$500)</f>
        <v>8112.7942719494722</v>
      </c>
      <c r="J148" s="297"/>
      <c r="K148" s="172"/>
      <c r="L148" s="275">
        <f>AF447*W4</f>
        <v>0</v>
      </c>
      <c r="M148" s="297"/>
      <c r="N148" s="298">
        <f t="shared" ref="N148:N151" si="95">L148-I148</f>
        <v>-8112.7942719494722</v>
      </c>
      <c r="O148" s="297"/>
      <c r="P148" s="172"/>
      <c r="Q148" s="174">
        <f>AL447*W4</f>
        <v>6696.6790000000001</v>
      </c>
      <c r="R148" s="297"/>
      <c r="S148" s="193">
        <f t="shared" ref="S148:S151" si="96">L148-Q148</f>
        <v>-6696.6790000000001</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4"/>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5"/>
        <v>0</v>
      </c>
      <c r="O149" s="297"/>
      <c r="P149" s="172"/>
      <c r="Q149" s="174">
        <f>SUMIFS(BV_Data_An_Prec!$P:$P,BV_Data_An_Prec!$U:$U,$B149,BV_Data_An_Prec!$V:$V,$C149,BV_Data_An_Prec!$W:$W,$L$2)</f>
        <v>0</v>
      </c>
      <c r="R149" s="297"/>
      <c r="S149" s="193">
        <f t="shared" si="9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4"/>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5"/>
        <v>0</v>
      </c>
      <c r="O150" s="297"/>
      <c r="P150" s="172"/>
      <c r="Q150" s="174">
        <f>SUMIFS(BV_Data_An_Prec!$P:$P,BV_Data_An_Prec!$U:$U,$B150,BV_Data_An_Prec!$V:$V,$C150,BV_Data_An_Prec!$W:$W,$L$2)</f>
        <v>0</v>
      </c>
      <c r="R150" s="297"/>
      <c r="S150" s="193">
        <f t="shared" si="9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4"/>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5"/>
        <v>0</v>
      </c>
      <c r="O151" s="297"/>
      <c r="P151" s="172"/>
      <c r="Q151" s="174">
        <f>SUMIFS(BV_Data_An_Prec!$P:$P,BV_Data_An_Prec!$U:$U,$B151,BV_Data_An_Prec!$V:$V,$C151,BV_Data_An_Prec!$W:$W,$L$2)</f>
        <v>0</v>
      </c>
      <c r="R151" s="297"/>
      <c r="S151" s="193">
        <f t="shared" si="9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5"/>
        <v>Véhicules usagésTOTAL SEMI-FIXES</v>
      </c>
      <c r="B152" s="24" t="s">
        <v>144</v>
      </c>
      <c r="C152" s="292" t="s">
        <v>135</v>
      </c>
      <c r="D152" s="39" t="s">
        <v>111</v>
      </c>
      <c r="E152" s="40">
        <f>F152/F$107</f>
        <v>4.7858779305427805E-2</v>
      </c>
      <c r="F152" s="41">
        <f>+SUM(F135:F151)</f>
        <v>64107.104477464381</v>
      </c>
      <c r="G152" s="42" t="s">
        <v>111</v>
      </c>
      <c r="H152" s="40">
        <f>I152/I$107</f>
        <v>4.7858779305427805E-2</v>
      </c>
      <c r="I152" s="41">
        <f>+SUM(I135:I151)</f>
        <v>64107.104477464381</v>
      </c>
      <c r="J152" s="42" t="s">
        <v>111</v>
      </c>
      <c r="K152" s="40" t="e">
        <f>L152/L$107</f>
        <v>#DIV/0!</v>
      </c>
      <c r="L152" s="41">
        <f>+SUM(L135:L151)</f>
        <v>0</v>
      </c>
      <c r="M152" s="44"/>
      <c r="N152" s="41">
        <f t="shared" si="89"/>
        <v>-64107.104477464381</v>
      </c>
      <c r="O152" s="42" t="s">
        <v>111</v>
      </c>
      <c r="P152" s="40">
        <f>Q152/Q$107</f>
        <v>3.4437913523274369E-2</v>
      </c>
      <c r="Q152" s="41">
        <f>+SUM(Q135:Q151)</f>
        <v>42204.368999999992</v>
      </c>
      <c r="R152" s="44"/>
      <c r="S152" s="310">
        <f t="shared" si="90"/>
        <v>-42204.368999999992</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5"/>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5"/>
        <v>Véhicules usagésTOTAL DES DÉPENSES</v>
      </c>
      <c r="B154" s="24" t="s">
        <v>144</v>
      </c>
      <c r="C154" s="292" t="s">
        <v>136</v>
      </c>
      <c r="D154" s="39" t="s">
        <v>111</v>
      </c>
      <c r="E154" s="40">
        <f>F154/F$107</f>
        <v>0.73495195280466841</v>
      </c>
      <c r="F154" s="41">
        <f>F121+F134+F152</f>
        <v>984472.28090963489</v>
      </c>
      <c r="G154" s="42" t="s">
        <v>111</v>
      </c>
      <c r="H154" s="40">
        <f>I154/I$107</f>
        <v>0.73495195280466841</v>
      </c>
      <c r="I154" s="41">
        <f>I121+I134+I152</f>
        <v>984472.28090963489</v>
      </c>
      <c r="J154" s="42" t="s">
        <v>111</v>
      </c>
      <c r="K154" s="40" t="e">
        <f>L154/L$107</f>
        <v>#DIV/0!</v>
      </c>
      <c r="L154" s="41">
        <f>L121+L134+L152</f>
        <v>0</v>
      </c>
      <c r="M154" s="44"/>
      <c r="N154" s="46">
        <f>L154-I154</f>
        <v>-984472.28090963489</v>
      </c>
      <c r="O154" s="42" t="s">
        <v>111</v>
      </c>
      <c r="P154" s="40">
        <f>Q154/Q$107</f>
        <v>0.71550350157341269</v>
      </c>
      <c r="Q154" s="41">
        <f>Q121+Q134+Q152</f>
        <v>876864.20900000003</v>
      </c>
      <c r="R154" s="44"/>
      <c r="S154" s="293">
        <f>L154-Q154</f>
        <v>-876864.20900000003</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5"/>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7">L155-I155</f>
        <v>0</v>
      </c>
      <c r="O155" s="410"/>
      <c r="P155" s="409"/>
      <c r="Q155" s="174">
        <f>-SUMIFS(BV_Data_An_Prec!$P:$P,BV_Data_An_Prec!$U:$U,$B155,BV_Data_An_Prec!$V:$V,$C155,BV_Data_An_Prec!$W:$W,$L$2)</f>
        <v>0</v>
      </c>
      <c r="R155" s="297"/>
      <c r="S155" s="193">
        <f t="shared" ref="S155:S157" si="98">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5"/>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7"/>
        <v>0</v>
      </c>
      <c r="O156" s="410"/>
      <c r="P156" s="409"/>
      <c r="Q156" s="174">
        <f>-SUMIFS(BV_Data_An_Prec!$P:$P,BV_Data_An_Prec!$U:$U,$B156,BV_Data_An_Prec!$V:$V,$C156,BV_Data_An_Prec!$W:$W,$L$2)</f>
        <v>0</v>
      </c>
      <c r="R156" s="297"/>
      <c r="S156" s="193">
        <f t="shared" si="98"/>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5"/>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7"/>
        <v>0</v>
      </c>
      <c r="O157" s="297"/>
      <c r="P157" s="172"/>
      <c r="Q157" s="174">
        <f>-SUMIFS(BV_Data_An_Prec!$P:$P,BV_Data_An_Prec!$U:$U,$B157,BV_Data_An_Prec!$V:$V,$C157,BV_Data_An_Prec!$W:$W,$L$2)</f>
        <v>0</v>
      </c>
      <c r="R157" s="297"/>
      <c r="S157" s="193">
        <f t="shared" si="98"/>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564" t="str">
        <f t="shared" ref="A158:A161" si="99">+B158&amp;C158</f>
        <v>Véhicules usagésFrais administration</v>
      </c>
      <c r="B158" s="24" t="s">
        <v>144</v>
      </c>
      <c r="C158" s="258" t="s">
        <v>141</v>
      </c>
      <c r="D158" s="295"/>
      <c r="E158" s="172"/>
      <c r="F158" s="173">
        <f>+SUMPRODUCT(('Budget original'!$A$8:$A$500=$A158)*('Budget original'!$C$3:$AO$3=F$2),'Budget original'!$C$8:$AO$500)</f>
        <v>145017.13106796116</v>
      </c>
      <c r="G158" s="296"/>
      <c r="H158" s="172"/>
      <c r="I158" s="173">
        <f>+SUMPRODUCT(('Budget révisé'!$A$8:$A$500=$A158)*('Budget révisé'!$C$3:$AO$3=I$2),'Budget révisé'!$C$8:$AO$500)</f>
        <v>145017.13106796116</v>
      </c>
      <c r="J158" s="297"/>
      <c r="K158" s="227"/>
      <c r="L158" s="961">
        <f>349*J96</f>
        <v>0</v>
      </c>
      <c r="M158" s="297"/>
      <c r="N158" s="298">
        <f t="shared" ref="N158" si="100">L158-I158</f>
        <v>-145017.13106796116</v>
      </c>
      <c r="O158" s="297"/>
      <c r="P158" s="172"/>
      <c r="Q158" s="174">
        <f>349*O96</f>
        <v>124244</v>
      </c>
      <c r="R158" s="297"/>
      <c r="S158" s="193">
        <f t="shared" ref="S158" si="101">L158-Q158</f>
        <v>-124244</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99"/>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2">L159-I159</f>
        <v>0</v>
      </c>
      <c r="O159" s="297"/>
      <c r="P159" s="172"/>
      <c r="Q159" s="174">
        <f>-SUMIFS(BV_Data_An_Prec!$P:$P,BV_Data_An_Prec!$U:$U,$B159,BV_Data_An_Prec!$V:$V,$C159,BV_Data_An_Prec!$W:$W,$L$2)</f>
        <v>0</v>
      </c>
      <c r="R159" s="297"/>
      <c r="S159" s="193">
        <f t="shared" ref="S159:S161" si="103">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99"/>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2"/>
        <v>0</v>
      </c>
      <c r="O160" s="297"/>
      <c r="P160" s="172"/>
      <c r="Q160" s="174">
        <f>-SUMIFS(BV_Data_An_Prec!$P:$P,BV_Data_An_Prec!$U:$U,$B160,BV_Data_An_Prec!$V:$V,$C160,BV_Data_An_Prec!$W:$W,$L$2)</f>
        <v>0</v>
      </c>
      <c r="R160" s="297"/>
      <c r="S160" s="193">
        <f t="shared" si="103"/>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99"/>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2"/>
        <v>0</v>
      </c>
      <c r="O161" s="297"/>
      <c r="P161" s="172"/>
      <c r="Q161" s="174">
        <f>-SUMIFS(BV_Data_An_Prec!$P:$P,BV_Data_An_Prec!$U:$U,$B161,BV_Data_An_Prec!$V:$V,$C161,BV_Data_An_Prec!$W:$W,$L$2)</f>
        <v>0</v>
      </c>
      <c r="R161" s="297"/>
      <c r="S161" s="193">
        <f t="shared" si="103"/>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145017.13106796116</v>
      </c>
      <c r="G162" s="42"/>
      <c r="H162" s="40"/>
      <c r="I162" s="41">
        <f>+SUM(I155:I161)</f>
        <v>145017.13106796116</v>
      </c>
      <c r="J162" s="42"/>
      <c r="K162" s="40"/>
      <c r="L162" s="41">
        <f>+SUM(L155:L161)</f>
        <v>0</v>
      </c>
      <c r="M162" s="44"/>
      <c r="N162" s="41">
        <f>SUM(N157:N157)</f>
        <v>0</v>
      </c>
      <c r="O162" s="42"/>
      <c r="P162" s="40"/>
      <c r="Q162" s="41">
        <f>+SUM(Q155:Q161)</f>
        <v>124244</v>
      </c>
      <c r="R162" s="44"/>
      <c r="S162" s="310">
        <f>+SUM(S155:S161)</f>
        <v>-124244</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500050.4833534839</v>
      </c>
      <c r="G164" s="338"/>
      <c r="H164" s="336"/>
      <c r="I164" s="337">
        <f>I107-I154+I162</f>
        <v>500050.4833534839</v>
      </c>
      <c r="J164" s="339"/>
      <c r="K164" s="340"/>
      <c r="L164" s="337">
        <f>L107-L154+L162</f>
        <v>0</v>
      </c>
      <c r="M164" s="339"/>
      <c r="N164" s="337">
        <f>L164-I164</f>
        <v>-500050.4833534839</v>
      </c>
      <c r="O164" s="339"/>
      <c r="P164" s="340"/>
      <c r="Q164" s="337">
        <f>Q107-Q154+Q162</f>
        <v>472900.29100000067</v>
      </c>
      <c r="R164" s="339"/>
      <c r="S164" s="341">
        <f>L164-Q164</f>
        <v>-472900.29100000067</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Octobre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21" t="s">
        <v>77</v>
      </c>
      <c r="E169" s="1422"/>
      <c r="F169" s="1423"/>
      <c r="G169" s="1424" t="s">
        <v>145</v>
      </c>
      <c r="H169" s="1422"/>
      <c r="I169" s="1423"/>
      <c r="J169" s="1424" t="s">
        <v>79</v>
      </c>
      <c r="K169" s="1422"/>
      <c r="L169" s="1423"/>
      <c r="M169" s="1424" t="s">
        <v>80</v>
      </c>
      <c r="N169" s="1423"/>
      <c r="O169" s="1421" t="s">
        <v>81</v>
      </c>
      <c r="P169" s="1422"/>
      <c r="Q169" s="1423"/>
      <c r="R169" s="1424" t="s">
        <v>82</v>
      </c>
      <c r="S169" s="1425"/>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4">+B170&amp;C170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4"/>
        <v>ServiceM/O Client</v>
      </c>
      <c r="B171" s="24" t="s">
        <v>155</v>
      </c>
      <c r="C171" s="258" t="s">
        <v>159</v>
      </c>
      <c r="D171" s="172">
        <f>+SUMPRODUCT(('Budget original'!$A$8:$A$500=$A171)*('Budget original'!$C$3:$AO$3=D$2),'Budget original'!$C$8:$AO$500)</f>
        <v>4383.1876710777469</v>
      </c>
      <c r="E171" s="191">
        <f>+SUMPRODUCT(('Budget original'!$A$8:$A$500=$A171)*('Budget original'!$C$3:$AO$3=E$2),'Budget original'!$C$8:$AO$500)</f>
        <v>1087030.5424272814</v>
      </c>
      <c r="F171" s="191">
        <f>+SUMPRODUCT(('Budget original'!$A$8:$A$500=$A171)*('Budget original'!$C$3:$AO$3=F$2),'Budget original'!$C$8:$AO$500)</f>
        <v>816359.93736288825</v>
      </c>
      <c r="G171" s="342">
        <f>+SUMPRODUCT(('Budget révisé'!$A$8:$A$500=$A171)*('Budget révisé'!$C$3:$AO$3=G$2),'Budget révisé'!$C$8:$AO$500)</f>
        <v>4383.1876710777469</v>
      </c>
      <c r="H171" s="191">
        <f>+SUMPRODUCT(('Budget révisé'!$A$8:$A$500=$A171)*('Budget révisé'!$C$3:$AO$3=H$2),'Budget révisé'!$C$8:$AO$500)</f>
        <v>1087030.5424272814</v>
      </c>
      <c r="I171" s="191">
        <f>+SUMPRODUCT(('Budget révisé'!$A$8:$A$500=$A171)*('Budget révisé'!$C$3:$AO$3=I$2),'Budget révisé'!$C$8:$AO$500)</f>
        <v>816359.93736288825</v>
      </c>
      <c r="J171" s="319">
        <f>-SUMIFS(BV_Data_An_Cour!$Q:$Q,BV_Data_An_Cour!$V:$V,$B171,BV_Data_An_Cour!$W:$W,$C171,BV_Data_An_Cour!$X:$X,J$2)</f>
        <v>0</v>
      </c>
      <c r="K171" s="173">
        <f>-SUMIFS(BV_Data_An_Cour!$Q:$Q,BV_Data_An_Cour!$Y:$Y,"Oui",BV_Data_An_Cour!$V:$V,$B171,BV_Data_An_Cour!$W:$W,$C171)</f>
        <v>0</v>
      </c>
      <c r="L171" s="174">
        <f>-SUMIFS(BV_Data_An_Cour!$Q:$Q,BV_Data_An_Cour!$V:$V,$B171,BV_Data_An_Cour!$W:$W,$C171,BV_Data_An_Cour!$X:$X,$L$2)</f>
        <v>0</v>
      </c>
      <c r="M171" s="318">
        <f>(K171-H171)/H171</f>
        <v>-1</v>
      </c>
      <c r="N171" s="298">
        <f>L171-I171</f>
        <v>-816359.93736288825</v>
      </c>
      <c r="O171" s="319">
        <f>-SUMIFS(BV_Data_An_Prec!$P:$P,BV_Data_An_Prec!$U:$U,$B171,BV_Data_An_Prec!$V:$V,$C171,BV_Data_An_Prec!$W:$W,O$2)</f>
        <v>4084</v>
      </c>
      <c r="P171" s="173">
        <f>-SUMIFS(BV_Data_An_Prec!$P:$P,BV_Data_An_Prec!$X:$X,"Oui",BV_Data_An_Prec!$U:$U,$B171,BV_Data_An_Prec!$V:$V,$C171)</f>
        <v>928808.41</v>
      </c>
      <c r="Q171" s="174">
        <f>-SUMIFS(BV_Data_An_Prec!$P:$P,BV_Data_An_Prec!$U:$U,$B171,BV_Data_An_Prec!$V:$V,$C171,BV_Data_An_Prec!$W:$W,$L$2)</f>
        <v>709203.8</v>
      </c>
      <c r="R171" s="318">
        <f>IF(O171=0,0,J171/O171)</f>
        <v>0</v>
      </c>
      <c r="S171" s="193">
        <f>L171-Q171</f>
        <v>-709203.8</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4"/>
        <v>Service% profit / ventes</v>
      </c>
      <c r="B172" s="24" t="s">
        <v>155</v>
      </c>
      <c r="C172" s="258" t="s">
        <v>160</v>
      </c>
      <c r="D172" s="172"/>
      <c r="E172" s="343"/>
      <c r="F172" s="344">
        <f>F171/E171</f>
        <v>0.75099999999999989</v>
      </c>
      <c r="G172" s="297"/>
      <c r="H172" s="343"/>
      <c r="I172" s="344">
        <f>I171/H171</f>
        <v>0.75099999999999989</v>
      </c>
      <c r="J172" s="319"/>
      <c r="K172" s="172"/>
      <c r="L172" s="344">
        <f>IF(L171=0,0,L171/K171)</f>
        <v>0</v>
      </c>
      <c r="M172" s="318"/>
      <c r="N172" s="298"/>
      <c r="O172" s="319"/>
      <c r="P172" s="172"/>
      <c r="Q172" s="344">
        <f>IF(Q171=0,0,Q171/P171)</f>
        <v>0.76356306894335724</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4"/>
        <v>Service</v>
      </c>
      <c r="B173" s="24" t="s">
        <v>155</v>
      </c>
      <c r="C173" s="320"/>
      <c r="D173" s="302"/>
      <c r="E173" s="352">
        <f t="shared" ref="E173" si="105">IFERROR(E171/D171,0)</f>
        <v>248.00000000000003</v>
      </c>
      <c r="F173" s="353"/>
      <c r="G173" s="304"/>
      <c r="H173" s="352">
        <f t="shared" ref="H173" si="106">IFERROR(H171/G171,0)</f>
        <v>248.00000000000003</v>
      </c>
      <c r="I173" s="353"/>
      <c r="J173" s="333"/>
      <c r="K173" s="567">
        <f t="shared" ref="K173" si="107">IFERROR(K171/J171,0)</f>
        <v>0</v>
      </c>
      <c r="L173" s="353"/>
      <c r="M173" s="355"/>
      <c r="N173" s="305"/>
      <c r="O173" s="333"/>
      <c r="P173" s="567">
        <f t="shared" ref="P173" si="108">IFERROR(P171/O171,0)</f>
        <v>227.42615328109696</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4"/>
        <v>ServiceM/O Garantie</v>
      </c>
      <c r="B174" s="24" t="s">
        <v>155</v>
      </c>
      <c r="C174" s="345" t="s">
        <v>161</v>
      </c>
      <c r="D174" s="351">
        <f>+SUMPRODUCT(('Budget original'!$A$8:$A$500=$A174)*('Budget original'!$C$3:$AO$3=D$2),'Budget original'!$C$8:$AO$500)</f>
        <v>3144.3442575736026</v>
      </c>
      <c r="E174" s="191">
        <f>+SUMPRODUCT(('Budget original'!$A$8:$A$500=$A174)*('Budget original'!$C$3:$AO$3=E$2),'Budget original'!$C$8:$AO$500)</f>
        <v>622887.13813562714</v>
      </c>
      <c r="F174" s="191">
        <f>+SUMPRODUCT(('Budget original'!$A$8:$A$500=$A174)*('Budget original'!$C$3:$AO$3=F$2),'Budget original'!$C$8:$AO$500)</f>
        <v>438793.53532514023</v>
      </c>
      <c r="G174" s="348">
        <f>+SUMPRODUCT(('Budget révisé'!$A$8:$A$500=$A174)*('Budget révisé'!$C$3:$AO$3=G$2),'Budget révisé'!$C$8:$AO$500)</f>
        <v>3144.3442575736026</v>
      </c>
      <c r="H174" s="191">
        <f>+SUMPRODUCT(('Budget révisé'!$A$8:$A$500=$A174)*('Budget révisé'!$C$3:$AO$3=H$2),'Budget révisé'!$C$8:$AO$500)</f>
        <v>622887.13813562714</v>
      </c>
      <c r="I174" s="191">
        <f>+SUMPRODUCT(('Budget révisé'!$A$8:$A$500=$A174)*('Budget révisé'!$C$3:$AO$3=I$2),'Budget révisé'!$C$8:$AO$500)</f>
        <v>438793.53532514023</v>
      </c>
      <c r="J174" s="348">
        <f>-SUMIFS(BV_Data_An_Cour!$Q:$Q,BV_Data_An_Cour!$V:$V,$B174,BV_Data_An_Cour!$W:$W,$C174,BV_Data_An_Cour!$X:$X,J$2)</f>
        <v>0</v>
      </c>
      <c r="K174" s="180">
        <f>-SUMIFS(BV_Data_An_Cour!$Q:$Q,BV_Data_An_Cour!$Y:$Y,"Oui",BV_Data_An_Cour!$V:$V,$B174,BV_Data_An_Cour!$W:$W,$C174)</f>
        <v>0</v>
      </c>
      <c r="L174" s="174">
        <f>-SUMIFS(BV_Data_An_Cour!$Q:$Q,BV_Data_An_Cour!$V:$V,$B174,BV_Data_An_Cour!$W:$W,$C174,BV_Data_An_Cour!$X:$X,$L$2)</f>
        <v>0</v>
      </c>
      <c r="M174" s="318">
        <f>(K174-H174)/H174</f>
        <v>-1</v>
      </c>
      <c r="N174" s="350">
        <f>L174-I174</f>
        <v>-438793.53532514023</v>
      </c>
      <c r="O174" s="348">
        <f>-SUMIFS(BV_Data_An_Prec!$P:$P,BV_Data_An_Prec!$U:$U,$B174,BV_Data_An_Prec!$V:$V,$C174,BV_Data_An_Prec!$W:$W,O$2)</f>
        <v>2792</v>
      </c>
      <c r="P174" s="180">
        <f>-SUMIFS(BV_Data_An_Prec!$P:$P,BV_Data_An_Prec!$X:$X,"Oui",BV_Data_An_Prec!$U:$U,$B174,BV_Data_An_Prec!$V:$V,$C174)</f>
        <v>564215.18000000005</v>
      </c>
      <c r="Q174" s="174">
        <f>-SUMIFS(BV_Data_An_Prec!$P:$P,BV_Data_An_Prec!$U:$U,$B174,BV_Data_An_Prec!$V:$V,$C174,BV_Data_An_Prec!$W:$W,$L$2)</f>
        <v>402952.68000000005</v>
      </c>
      <c r="R174" s="318">
        <f>IF(O174=0,0,J174/O174)</f>
        <v>0</v>
      </c>
      <c r="S174" s="193">
        <f>L174-Q174</f>
        <v>-402952.68000000005</v>
      </c>
      <c r="T174" s="223"/>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4"/>
        <v>Service% profit / ventes</v>
      </c>
      <c r="B175" s="24" t="s">
        <v>155</v>
      </c>
      <c r="C175" s="258" t="s">
        <v>160</v>
      </c>
      <c r="D175" s="172"/>
      <c r="E175" s="172"/>
      <c r="F175" s="344">
        <f>F174/E174</f>
        <v>0.70445110913431241</v>
      </c>
      <c r="G175" s="297"/>
      <c r="H175" s="172"/>
      <c r="I175" s="344">
        <f>I174/H174</f>
        <v>0.70445110913431241</v>
      </c>
      <c r="J175" s="297"/>
      <c r="K175" s="172"/>
      <c r="L175" s="344">
        <f>IF(L174=0,0,L174/K174)</f>
        <v>0</v>
      </c>
      <c r="M175" s="356"/>
      <c r="N175" s="326"/>
      <c r="O175" s="297"/>
      <c r="P175" s="172"/>
      <c r="Q175" s="344">
        <f>IF(Q174=0,0,Q174/P174)</f>
        <v>0.7141826279824659</v>
      </c>
      <c r="R175" s="356"/>
      <c r="S175" s="327"/>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4"/>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4"/>
        <v>ServiceM/O Interne</v>
      </c>
      <c r="B177" s="24" t="s">
        <v>155</v>
      </c>
      <c r="C177" s="258" t="s">
        <v>162</v>
      </c>
      <c r="D177" s="172">
        <f>+SUMPRODUCT(('Budget original'!$A$8:$A$500=$A177)*('Budget original'!$C$3:$AO$3=D$2),'Budget original'!$C$8:$AO$500)</f>
        <v>2959.6644065577771</v>
      </c>
      <c r="E177" s="191">
        <f>+SUMPRODUCT(('Budget original'!$A$8:$A$500=$A177)*('Budget original'!$C$3:$AO$3=E$2),'Budget original'!$C$8:$AO$500)</f>
        <v>637472.52263101668</v>
      </c>
      <c r="F177" s="191">
        <f>+SUMPRODUCT(('Budget original'!$A$8:$A$500=$A177)*('Budget original'!$C$3:$AO$3=F$2),'Budget original'!$C$8:$AO$500)</f>
        <v>470290.29669525492</v>
      </c>
      <c r="G177" s="297">
        <f>+SUMPRODUCT(('Budget révisé'!$A$8:$A$500=$A177)*('Budget révisé'!$C$3:$AO$3=G$2),'Budget révisé'!$C$8:$AO$500)</f>
        <v>2959.6644065577771</v>
      </c>
      <c r="H177" s="191">
        <f>+SUMPRODUCT(('Budget révisé'!$A$8:$A$500=$A177)*('Budget révisé'!$C$3:$AO$3=H$2),'Budget révisé'!$C$8:$AO$500)</f>
        <v>637472.52263101668</v>
      </c>
      <c r="I177" s="191">
        <f>+SUMPRODUCT(('Budget révisé'!$A$8:$A$500=$A177)*('Budget révisé'!$C$3:$AO$3=I$2),'Budget révisé'!$C$8:$AO$500)</f>
        <v>470290.29669525492</v>
      </c>
      <c r="J177" s="319">
        <f>-SUMIFS(BV_Data_An_Cour!$Q:$Q,BV_Data_An_Cour!$V:$V,$B177,BV_Data_An_Cour!$W:$W,$C177,BV_Data_An_Cour!$X:$X,J$2)</f>
        <v>0</v>
      </c>
      <c r="K177" s="180">
        <f>-SUMIFS(BV_Data_An_Cour!$Q:$Q,BV_Data_An_Cour!$Y:$Y,"Oui",BV_Data_An_Cour!$V:$V,$B177,BV_Data_An_Cour!$W:$W,$C177)</f>
        <v>0</v>
      </c>
      <c r="L177" s="174">
        <f>-SUMIFS(BV_Data_An_Cour!$Q:$Q,BV_Data_An_Cour!$V:$V,$B177,BV_Data_An_Cour!$W:$W,$C177,BV_Data_An_Cour!$X:$X,$L$2)</f>
        <v>0</v>
      </c>
      <c r="M177" s="318">
        <f>(K177-H177)/H177</f>
        <v>-1</v>
      </c>
      <c r="N177" s="298">
        <f t="shared" ref="N177:N178" si="109">L177-I177</f>
        <v>-470290.29669525492</v>
      </c>
      <c r="O177" s="319">
        <f>-SUMIFS(BV_Data_An_Prec!$P:$P,BV_Data_An_Prec!$U:$U,$B177,BV_Data_An_Prec!$V:$V,$C177,BV_Data_An_Prec!$W:$W,O$2)</f>
        <v>2744</v>
      </c>
      <c r="P177" s="180">
        <f>-SUMIFS(BV_Data_An_Prec!$P:$P,BV_Data_An_Prec!$X:$X,"Oui",BV_Data_An_Prec!$U:$U,$B177,BV_Data_An_Prec!$V:$V,$C177)</f>
        <v>589638.45000000007</v>
      </c>
      <c r="Q177" s="174">
        <f>-SUMIFS(BV_Data_An_Prec!$P:$P,BV_Data_An_Prec!$U:$U,$B177,BV_Data_An_Prec!$V:$V,$C177,BV_Data_An_Prec!$W:$W,$L$2)</f>
        <v>440011.22000000009</v>
      </c>
      <c r="R177" s="318">
        <f>IF(O177=0,0,J177/O177)</f>
        <v>0</v>
      </c>
      <c r="S177" s="193">
        <f>L177-Q177</f>
        <v>-440011.22000000009</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4"/>
        <v>Service% profit / ventes</v>
      </c>
      <c r="B178" s="24" t="s">
        <v>155</v>
      </c>
      <c r="C178" s="258" t="s">
        <v>160</v>
      </c>
      <c r="D178" s="172"/>
      <c r="E178" s="343"/>
      <c r="F178" s="344">
        <f>F177/E177</f>
        <v>0.73774206730392589</v>
      </c>
      <c r="G178" s="297"/>
      <c r="H178" s="343"/>
      <c r="I178" s="344">
        <f>I177/H177</f>
        <v>0.73774206730392589</v>
      </c>
      <c r="J178" s="319"/>
      <c r="K178" s="343"/>
      <c r="L178" s="344">
        <f>IF(L177=0,0,L177/K177)</f>
        <v>0</v>
      </c>
      <c r="M178" s="318"/>
      <c r="N178" s="298">
        <f t="shared" si="109"/>
        <v>-0.73774206730392589</v>
      </c>
      <c r="O178" s="319"/>
      <c r="P178" s="343"/>
      <c r="Q178" s="344">
        <f>IF(Q177=0,0,Q177/P177)</f>
        <v>0.74623902155634536</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4"/>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4"/>
        <v>ServiceM/O Esthétique</v>
      </c>
      <c r="B180" s="24" t="s">
        <v>155</v>
      </c>
      <c r="C180" s="345" t="s">
        <v>163</v>
      </c>
      <c r="D180" s="346">
        <f>+SUMPRODUCT(('Budget original'!$A$8:$A$500=$A180)*('Budget original'!$C$3:$AO$3=D$2),'Budget original'!$C$8:$AO$500)</f>
        <v>0</v>
      </c>
      <c r="E180" s="191">
        <f>+SUMPRODUCT(('Budget original'!$A$8:$A$500=$A180)*('Budget original'!$C$3:$AO$3=E$2),'Budget original'!$C$8:$AO$500)</f>
        <v>3334.2678219117097</v>
      </c>
      <c r="F180" s="191">
        <f>+SUMPRODUCT(('Budget original'!$A$8:$A$500=$A180)*('Budget original'!$C$3:$AO$3=F$2),'Budget original'!$C$8:$AO$500)</f>
        <v>1260.8552567891661</v>
      </c>
      <c r="G180" s="362">
        <f>+SUMPRODUCT(('Budget révisé'!$A$8:$A$500=$A180)*('Budget révisé'!$C$3:$AO$3=G$2),'Budget révisé'!$C$8:$AO$500)</f>
        <v>0</v>
      </c>
      <c r="H180" s="191">
        <f>+SUMPRODUCT(('Budget révisé'!$A$8:$A$500=$A180)*('Budget révisé'!$C$3:$AO$3=H$2),'Budget révisé'!$C$8:$AO$500)</f>
        <v>3334.2678219117097</v>
      </c>
      <c r="I180" s="191">
        <f>+SUMPRODUCT(('Budget révisé'!$A$8:$A$500=$A180)*('Budget révisé'!$C$3:$AO$3=I$2),'Budget révisé'!$C$8:$AO$500)</f>
        <v>1260.8552567891661</v>
      </c>
      <c r="J180" s="348">
        <f>-SUMIFS(BV_Data_An_Cour!$Q:$Q,BV_Data_An_Cour!$V:$V,$B180,BV_Data_An_Cour!$W:$W,$C180,BV_Data_An_Cour!$X:$X,J$2)</f>
        <v>0</v>
      </c>
      <c r="K180" s="180">
        <f>-SUMIFS(BV_Data_An_Cour!$Q:$Q,BV_Data_An_Cour!$Y:$Y,"Oui",BV_Data_An_Cour!$V:$V,$B180,BV_Data_An_Cour!$W:$W,$C180)</f>
        <v>0</v>
      </c>
      <c r="L180" s="175">
        <f>-SUMIFS(BV_Data_An_Cour!$Q:$Q,BV_Data_An_Cour!$V:$V,$B180,BV_Data_An_Cour!$W:$W,$C180,BV_Data_An_Cour!$X:$X,$L$2)</f>
        <v>0</v>
      </c>
      <c r="M180" s="349">
        <f>IF(H180=0,0,(K180-H180)/H180)</f>
        <v>-1</v>
      </c>
      <c r="N180" s="350">
        <f>L180-I180</f>
        <v>-1260.8552567891661</v>
      </c>
      <c r="O180" s="348">
        <f>-SUMIFS(BV_Data_An_Prec!$P:$P,BV_Data_An_Prec!$U:$U,$B180,BV_Data_An_Prec!$V:$V,$C180,BV_Data_An_Prec!$W:$W,O$2)</f>
        <v>0</v>
      </c>
      <c r="P180" s="180">
        <f>-SUMIFS(BV_Data_An_Prec!$P:$P,BV_Data_An_Prec!$X:$X,"Oui",BV_Data_An_Prec!$U:$U,$B180,BV_Data_An_Prec!$V:$V,$C180)</f>
        <v>4064.65</v>
      </c>
      <c r="Q180" s="175">
        <f>-SUMIFS(BV_Data_An_Prec!$P:$P,BV_Data_An_Prec!$U:$U,$B180,BV_Data_An_Prec!$V:$V,$C180,BV_Data_An_Prec!$W:$W,$L$2)</f>
        <v>1286.21</v>
      </c>
      <c r="R180" s="318">
        <f>IF(O180=0,0,J180/O180)</f>
        <v>0</v>
      </c>
      <c r="S180" s="195">
        <f>L180-Q180</f>
        <v>-1286.21</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4"/>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v>
      </c>
      <c r="M181" s="319">
        <f>J181-G181</f>
        <v>0</v>
      </c>
      <c r="N181" s="366"/>
      <c r="O181" s="365"/>
      <c r="P181" s="364">
        <f>IF(O181&lt;=0,0,Q181/O181)</f>
        <v>0</v>
      </c>
      <c r="Q181" s="344">
        <f>IF(Q180=0,0,Q180/P180)</f>
        <v>0.31643806969849803</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4"/>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4"/>
        <v>ServiceAjustement M/O</v>
      </c>
      <c r="B183" s="24" t="s">
        <v>155</v>
      </c>
      <c r="C183" s="258" t="s">
        <v>164</v>
      </c>
      <c r="D183" s="172"/>
      <c r="E183" s="172"/>
      <c r="F183" s="298">
        <f>+SUMPRODUCT(('Budget original'!$A$8:$A$500=$A183)*('Budget original'!$C$3:$AO$3=F$2),'Budget original'!$C$8:$AO$500)</f>
        <v>-36420.675239861012</v>
      </c>
      <c r="G183" s="297"/>
      <c r="H183" s="191"/>
      <c r="I183" s="191">
        <f>+SUMPRODUCT(('Budget révisé'!$A$8:$A$500=$A183)*('Budget révisé'!$C$3:$AO$3=I$2),'Budget révisé'!$C$8:$AO$500)</f>
        <v>-36420.675239861012</v>
      </c>
      <c r="J183" s="319"/>
      <c r="K183" s="191"/>
      <c r="L183" s="191">
        <f>-SUMIFS(BV_Data_An_Cour!$Q:$Q,BV_Data_An_Cour!$V:$V,$B183,BV_Data_An_Cour!$W:$W,$C183,BV_Data_An_Cour!$X:$X,$L$2)</f>
        <v>0</v>
      </c>
      <c r="M183" s="365"/>
      <c r="N183" s="298">
        <f t="shared" ref="N183:N184" si="110">L183-I183</f>
        <v>36420.675239861012</v>
      </c>
      <c r="O183" s="319"/>
      <c r="P183" s="191"/>
      <c r="Q183" s="174">
        <f>-SUMIFS(BV_Data_An_Prec!$P:$P,BV_Data_An_Prec!$U:$U,$B183,BV_Data_An_Prec!$V:$V,$C183,BV_Data_An_Prec!$W:$W,$L$2)</f>
        <v>-29847.279999999999</v>
      </c>
      <c r="R183" s="203"/>
      <c r="S183" s="193">
        <f t="shared" ref="S183:S184" si="111">L183-Q183</f>
        <v>29847.279999999999</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4"/>
        <v>ServiceSous-total M/O</v>
      </c>
      <c r="B184" s="24" t="s">
        <v>155</v>
      </c>
      <c r="C184" s="374" t="s">
        <v>165</v>
      </c>
      <c r="D184" s="58"/>
      <c r="E184" s="58">
        <f t="shared" ref="E184:F184" si="112">E171+E174+E177+E180+E183</f>
        <v>2350724.471015837</v>
      </c>
      <c r="F184" s="59">
        <f t="shared" si="112"/>
        <v>1690283.9494002117</v>
      </c>
      <c r="G184" s="60">
        <f t="shared" ref="G184:L184" si="113">G171+G174+G177+G180+G183</f>
        <v>10487.196335209126</v>
      </c>
      <c r="H184" s="58">
        <f t="shared" si="113"/>
        <v>2350724.471015837</v>
      </c>
      <c r="I184" s="59">
        <f t="shared" si="113"/>
        <v>1690283.9494002117</v>
      </c>
      <c r="J184" s="60">
        <f t="shared" si="113"/>
        <v>0</v>
      </c>
      <c r="K184" s="58">
        <f t="shared" si="113"/>
        <v>0</v>
      </c>
      <c r="L184" s="59">
        <f t="shared" si="113"/>
        <v>0</v>
      </c>
      <c r="M184" s="61">
        <f>(K184-H184)/H184</f>
        <v>-1</v>
      </c>
      <c r="N184" s="59">
        <f t="shared" si="110"/>
        <v>-1690283.9494002117</v>
      </c>
      <c r="O184" s="60">
        <f t="shared" ref="O184:Q184" si="114">O171+O174+O177+O180+O183</f>
        <v>9620</v>
      </c>
      <c r="P184" s="58">
        <f t="shared" si="114"/>
        <v>2086726.69</v>
      </c>
      <c r="Q184" s="59">
        <f t="shared" si="114"/>
        <v>1523606.6300000001</v>
      </c>
      <c r="R184" s="375">
        <f>IF(O184=0,0,J184/O184)</f>
        <v>0</v>
      </c>
      <c r="S184" s="376">
        <f t="shared" si="111"/>
        <v>-1523606.6300000001</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4"/>
        <v>Service% protit / ventes</v>
      </c>
      <c r="B185" s="24" t="s">
        <v>155</v>
      </c>
      <c r="C185" s="377" t="s">
        <v>166</v>
      </c>
      <c r="D185" s="62"/>
      <c r="E185" s="62"/>
      <c r="F185" s="63">
        <f>F184/E184</f>
        <v>0.71904809357337229</v>
      </c>
      <c r="G185" s="64"/>
      <c r="H185" s="65">
        <f>IF(G184=0,0,H184/G184)</f>
        <v>224.1518510646784</v>
      </c>
      <c r="I185" s="326">
        <f>I184/H184</f>
        <v>0.71904809357337229</v>
      </c>
      <c r="J185" s="64"/>
      <c r="K185" s="65">
        <f>IF(J184=0,0,K184/J184)</f>
        <v>0</v>
      </c>
      <c r="L185" s="326">
        <f>IF(L184=0,0,L184/K184)</f>
        <v>0</v>
      </c>
      <c r="M185" s="64"/>
      <c r="N185" s="63">
        <f>N184/I184</f>
        <v>-1</v>
      </c>
      <c r="O185" s="64"/>
      <c r="P185" s="65">
        <f>IF(O184=0,0,P184/O184)</f>
        <v>216.91545634095633</v>
      </c>
      <c r="Q185" s="326">
        <f>IF(Q184=0,0,Q184/P184)</f>
        <v>0.7301419190646381</v>
      </c>
      <c r="R185" s="64"/>
      <c r="S185" s="327">
        <f>IF(Q184=0,0,(S184/Q184))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4"/>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4"/>
        <v>ServiceSous-traitement</v>
      </c>
      <c r="B187" s="24" t="s">
        <v>155</v>
      </c>
      <c r="C187" s="285" t="s">
        <v>167</v>
      </c>
      <c r="D187" s="222"/>
      <c r="E187" s="222">
        <f>+SUMPRODUCT(('Budget original'!$A$8:$A$500=$A187)*('Budget original'!$C$3:$AO$3=E$2),'Budget original'!$C$8:$AO$500)</f>
        <v>253884.38489085951</v>
      </c>
      <c r="F187" s="222">
        <f>+SUMPRODUCT(('Budget original'!$A$8:$A$500=$A187)*('Budget original'!$C$3:$AO$3=F$2),'Budget original'!$C$8:$AO$500)</f>
        <v>55632.592038445349</v>
      </c>
      <c r="G187" s="224"/>
      <c r="H187" s="222">
        <f>+SUMPRODUCT(('Budget révisé'!$A$8:$A$500=$A187)*('Budget révisé'!$C$3:$AO$3=H$2),'Budget révisé'!$C$8:$AO$500)</f>
        <v>253884.38489085951</v>
      </c>
      <c r="I187" s="222">
        <f>+SUMPRODUCT(('Budget révisé'!$A$8:$A$500=$A187)*('Budget révisé'!$C$3:$AO$3=I$2),'Budget révisé'!$C$8:$AO$500)</f>
        <v>55632.592038445349</v>
      </c>
      <c r="J187" s="224"/>
      <c r="K187" s="225">
        <f>-SUMIFS(BV_Data_An_Cour!$Q:$Q,BV_Data_An_Cour!$Y:$Y,"Oui",BV_Data_An_Cour!$V:$V,$B187,BV_Data_An_Cour!$W:$W,$C187)</f>
        <v>0</v>
      </c>
      <c r="L187" s="275">
        <f>-SUMIFS(BV_Data_An_Cour!$Q:$Q,BV_Data_An_Cour!$V:$V,$B187,BV_Data_An_Cour!$W:$W,$C187,BV_Data_An_Cour!$X:$X,$L$2)</f>
        <v>0</v>
      </c>
      <c r="M187" s="505">
        <f>IF(H187=0,0,(K187-H187)/H187)</f>
        <v>-1</v>
      </c>
      <c r="N187" s="226">
        <f>L187-I187</f>
        <v>-55632.592038445349</v>
      </c>
      <c r="O187" s="224"/>
      <c r="P187" s="225">
        <f>-SUMIFS(BV_Data_An_Prec!$P:$P,BV_Data_An_Prec!$X:$X,"Oui",BV_Data_An_Prec!$U:$U,$B187,BV_Data_An_Prec!$V:$V,$C187)</f>
        <v>231050.58</v>
      </c>
      <c r="Q187" s="275">
        <f>-SUMIFS(BV_Data_An_Prec!$P:$P,BV_Data_An_Prec!$U:$U,$B187,BV_Data_An_Prec!$V:$V,$C187,BV_Data_An_Prec!$W:$W,$L$2)</f>
        <v>50155.419999999955</v>
      </c>
      <c r="R187" s="380">
        <f>IF(O187=0,0,J187/O187)</f>
        <v>0</v>
      </c>
      <c r="S187" s="278">
        <f>L187-Q187</f>
        <v>-50155.419999999955</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4"/>
        <v>Service% profit / ventes</v>
      </c>
      <c r="B188" s="24" t="s">
        <v>155</v>
      </c>
      <c r="C188" s="285" t="s">
        <v>160</v>
      </c>
      <c r="D188" s="227"/>
      <c r="E188" s="228"/>
      <c r="F188" s="229">
        <f>IFERROR(F187/E187,0)</f>
        <v>0.21912569401367807</v>
      </c>
      <c r="G188" s="221"/>
      <c r="H188" s="228"/>
      <c r="I188" s="229">
        <f>IFERROR(I187/H187,0)</f>
        <v>0.21912569401367807</v>
      </c>
      <c r="J188" s="230"/>
      <c r="K188" s="231"/>
      <c r="L188" s="229">
        <f>IF(L187=0,0,L187/K187)</f>
        <v>0</v>
      </c>
      <c r="M188" s="230"/>
      <c r="N188" s="232"/>
      <c r="O188" s="230"/>
      <c r="P188" s="231"/>
      <c r="Q188" s="229">
        <f>IF(Q187=0,0,Q187/P187)</f>
        <v>0.21707549922618657</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4"/>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4"/>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4"/>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4"/>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4"/>
        <v>ServiceTotal Mécanique</v>
      </c>
      <c r="B193" s="24" t="s">
        <v>155</v>
      </c>
      <c r="C193" s="263" t="s">
        <v>169</v>
      </c>
      <c r="D193" s="26"/>
      <c r="E193" s="26">
        <f t="shared" ref="E193:F193" si="115">E184+E187+E190</f>
        <v>2604608.8559066965</v>
      </c>
      <c r="F193" s="28">
        <f t="shared" si="115"/>
        <v>1745916.5414386571</v>
      </c>
      <c r="G193" s="29"/>
      <c r="H193" s="26">
        <f t="shared" ref="H193:I193" si="116">H184+H187+H190</f>
        <v>2604608.8559066965</v>
      </c>
      <c r="I193" s="28">
        <f t="shared" si="116"/>
        <v>1745916.5414386571</v>
      </c>
      <c r="J193" s="29"/>
      <c r="K193" s="26">
        <f>K184+K187+K190</f>
        <v>0</v>
      </c>
      <c r="L193" s="28">
        <f t="shared" ref="L193" si="117">L184+L187+L190</f>
        <v>0</v>
      </c>
      <c r="M193" s="70" t="e">
        <f>L194-I194</f>
        <v>#DIV/0!</v>
      </c>
      <c r="N193" s="28">
        <f>L193-I193</f>
        <v>-1745916.5414386571</v>
      </c>
      <c r="O193" s="29"/>
      <c r="P193" s="26">
        <f>P184+P187+P190</f>
        <v>2317777.27</v>
      </c>
      <c r="Q193" s="28">
        <f t="shared" ref="Q193" si="118">Q184+Q187+Q190</f>
        <v>1573762.05</v>
      </c>
      <c r="R193" s="70" t="e">
        <f>L194-Q194</f>
        <v>#DIV/0!</v>
      </c>
      <c r="S193" s="357">
        <f>L193-Q193</f>
        <v>-1573762.05</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4"/>
        <v>Service</v>
      </c>
      <c r="B194" s="24" t="s">
        <v>155</v>
      </c>
      <c r="C194" s="358"/>
      <c r="D194" s="359"/>
      <c r="E194" s="359"/>
      <c r="F194" s="34">
        <f>F193/E193</f>
        <v>0.67031813144583741</v>
      </c>
      <c r="G194" s="31"/>
      <c r="H194" s="359"/>
      <c r="I194" s="34">
        <f>I193/H193</f>
        <v>0.67031813144583741</v>
      </c>
      <c r="J194" s="31"/>
      <c r="K194" s="359"/>
      <c r="L194" s="34" t="e">
        <f>L193/K193</f>
        <v>#DIV/0!</v>
      </c>
      <c r="M194" s="33"/>
      <c r="N194" s="34">
        <f>N193/I193</f>
        <v>-1</v>
      </c>
      <c r="O194" s="31"/>
      <c r="P194" s="359"/>
      <c r="Q194" s="34">
        <f>Q193/P193</f>
        <v>0.6789962393582365</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4"/>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4"/>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4"/>
        <v>ServiceSalaires cadres</v>
      </c>
      <c r="B197" s="24" t="s">
        <v>155</v>
      </c>
      <c r="C197" s="299" t="s">
        <v>112</v>
      </c>
      <c r="D197" s="172"/>
      <c r="E197" s="172"/>
      <c r="F197" s="173">
        <f>+SUMPRODUCT(('Budget original'!$A$8:$A$500=$A197)*('Budget original'!$C$3:$AO$3=F$2),'Budget original'!$C$8:$AO$500)</f>
        <v>114267.42298850577</v>
      </c>
      <c r="G197" s="297"/>
      <c r="H197" s="172"/>
      <c r="I197" s="173">
        <f>+SUMPRODUCT(('Budget révisé'!$A$8:$A$500=$A197)*('Budget révisé'!$C$3:$AO$3=I$2),'Budget révisé'!$C$8:$AO$500)</f>
        <v>114267.42298850577</v>
      </c>
      <c r="J197" s="297"/>
      <c r="K197" s="172"/>
      <c r="L197" s="174">
        <f>SUMIFS(BV_Data_An_Cour!$Q:$Q,BV_Data_An_Cour!$V:$V,$B197,BV_Data_An_Cour!$W:$W,$C197,BV_Data_An_Cour!$X:$X,$L$2)</f>
        <v>0</v>
      </c>
      <c r="M197" s="297"/>
      <c r="N197" s="298">
        <f t="shared" ref="N197:N228" si="119">L197-I197</f>
        <v>-114267.42298850577</v>
      </c>
      <c r="O197" s="297"/>
      <c r="P197" s="172"/>
      <c r="Q197" s="174">
        <f>SUMIFS(BV_Data_An_Prec!$P:$P,BV_Data_An_Prec!$U:$U,$B197,BV_Data_An_Prec!$V:$V,$C197,BV_Data_An_Prec!$W:$W,$L$2)</f>
        <v>117883.76</v>
      </c>
      <c r="R197" s="297"/>
      <c r="S197" s="393">
        <f>L197-Q197</f>
        <v>-117883.76</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4"/>
        <v>ServiceSalaires commis</v>
      </c>
      <c r="B198" s="24" t="s">
        <v>155</v>
      </c>
      <c r="C198" s="300" t="s">
        <v>113</v>
      </c>
      <c r="D198" s="295"/>
      <c r="E198" s="172"/>
      <c r="F198" s="171">
        <f>+SUMPRODUCT(('Budget original'!$A$8:$A$500=$A198)*('Budget original'!$C$3:$AO$3=F$2),'Budget original'!$C$8:$AO$500)</f>
        <v>96515.176269287389</v>
      </c>
      <c r="G198" s="296"/>
      <c r="H198" s="172"/>
      <c r="I198" s="171">
        <f>+SUMPRODUCT(('Budget révisé'!$A$8:$A$500=$A198)*('Budget révisé'!$C$3:$AO$3=I$2),'Budget révisé'!$C$8:$AO$500)</f>
        <v>96515.176269287389</v>
      </c>
      <c r="J198" s="297"/>
      <c r="K198" s="172"/>
      <c r="L198" s="174">
        <f>SUMIFS(BV_Data_An_Cour!$Q:$Q,BV_Data_An_Cour!$V:$V,$B198,BV_Data_An_Cour!$W:$W,$C198,BV_Data_An_Cour!$X:$X,$L$2)</f>
        <v>0</v>
      </c>
      <c r="M198" s="297"/>
      <c r="N198" s="298">
        <f t="shared" si="119"/>
        <v>-96515.176269287389</v>
      </c>
      <c r="O198" s="297"/>
      <c r="P198" s="172"/>
      <c r="Q198" s="174">
        <f>SUMIFS(BV_Data_An_Prec!$P:$P,BV_Data_An_Prec!$U:$U,$B198,BV_Data_An_Prec!$V:$V,$C198,BV_Data_An_Prec!$W:$W,$L$2)</f>
        <v>86442.47</v>
      </c>
      <c r="R198" s="297"/>
      <c r="S198" s="193">
        <f t="shared" ref="S198:S228" si="120">L198-Q198</f>
        <v>-86442.47</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4"/>
        <v>ServiceSalaires autres</v>
      </c>
      <c r="B199" s="24" t="s">
        <v>155</v>
      </c>
      <c r="C199" s="299" t="s">
        <v>114</v>
      </c>
      <c r="D199" s="386"/>
      <c r="E199" s="346"/>
      <c r="F199" s="173">
        <f>+SUMPRODUCT(('Budget original'!$A$8:$A$500=$A199)*('Budget original'!$C$3:$AO$3=F$2),'Budget original'!$C$8:$AO$500)</f>
        <v>145228.58526565519</v>
      </c>
      <c r="G199" s="387"/>
      <c r="H199" s="346"/>
      <c r="I199" s="173">
        <f>+SUMPRODUCT(('Budget révisé'!$A$8:$A$500=$A199)*('Budget révisé'!$C$3:$AO$3=I$2),'Budget révisé'!$C$8:$AO$500)</f>
        <v>145228.58526565519</v>
      </c>
      <c r="J199" s="362"/>
      <c r="K199" s="346"/>
      <c r="L199" s="175">
        <f>SUMIFS(BV_Data_An_Cour!$Q:$Q,BV_Data_An_Cour!$V:$V,$B199,BV_Data_An_Cour!$W:$W,$C199,BV_Data_An_Cour!$X:$X,$L$2)</f>
        <v>0</v>
      </c>
      <c r="M199" s="362"/>
      <c r="N199" s="350">
        <f t="shared" si="119"/>
        <v>-145228.58526565519</v>
      </c>
      <c r="O199" s="362"/>
      <c r="P199" s="346"/>
      <c r="Q199" s="175">
        <f>SUMIFS(BV_Data_An_Prec!$P:$P,BV_Data_An_Prec!$U:$U,$B199,BV_Data_An_Prec!$V:$V,$C199,BV_Data_An_Prec!$W:$W,$L$2)</f>
        <v>113610.05</v>
      </c>
      <c r="R199" s="362"/>
      <c r="S199" s="195">
        <f t="shared" si="120"/>
        <v>-113610.05</v>
      </c>
      <c r="T199" s="216"/>
      <c r="U199" s="216" t="s">
        <v>3417</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4"/>
        <v>ServiceSalaires spécialistes</v>
      </c>
      <c r="B200" s="24" t="s">
        <v>155</v>
      </c>
      <c r="C200" s="299" t="s">
        <v>115</v>
      </c>
      <c r="D200" s="295"/>
      <c r="E200" s="172"/>
      <c r="F200" s="173">
        <f>+SUMPRODUCT(('Budget original'!$A$8:$A$500=$A200)*('Budget original'!$C$3:$AO$3=F$2),'Budget original'!$C$8:$AO$500)</f>
        <v>284173.03839479701</v>
      </c>
      <c r="G200" s="296"/>
      <c r="H200" s="172"/>
      <c r="I200" s="173">
        <f>+SUMPRODUCT(('Budget révisé'!$A$8:$A$500=$A200)*('Budget révisé'!$C$3:$AO$3=I$2),'Budget révisé'!$C$8:$AO$500)</f>
        <v>284173.03839479701</v>
      </c>
      <c r="J200" s="297"/>
      <c r="K200" s="172"/>
      <c r="L200" s="174">
        <f>SUMIFS(BV_Data_An_Cour!$Q:$Q,BV_Data_An_Cour!$V:$V,$B200,BV_Data_An_Cour!$W:$W,$C200,BV_Data_An_Cour!$X:$X,$L$2)</f>
        <v>0</v>
      </c>
      <c r="M200" s="297"/>
      <c r="N200" s="298">
        <f t="shared" si="119"/>
        <v>-284173.03839479701</v>
      </c>
      <c r="O200" s="297"/>
      <c r="P200" s="172"/>
      <c r="Q200" s="174">
        <f>SUMIFS(BV_Data_An_Prec!$P:$P,BV_Data_An_Prec!$U:$U,$B200,BV_Data_An_Prec!$V:$V,$C200,BV_Data_An_Prec!$W:$W,$L$2)</f>
        <v>230906.96</v>
      </c>
      <c r="R200" s="297"/>
      <c r="S200" s="193">
        <f t="shared" si="120"/>
        <v>-230906.96</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4"/>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19"/>
        <v>0</v>
      </c>
      <c r="O201" s="297"/>
      <c r="P201" s="172"/>
      <c r="Q201" s="174">
        <f>SUMIFS(BV_Data_An_Prec!$P:$P,BV_Data_An_Prec!$U:$U,$B201,BV_Data_An_Prec!$V:$V,$C201,BV_Data_An_Prec!$W:$W,$L$2)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4"/>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19"/>
        <v>0</v>
      </c>
      <c r="O202" s="297"/>
      <c r="P202" s="172"/>
      <c r="Q202" s="174">
        <f>SUMIFS(BV_Data_An_Prec!$P:$P,BV_Data_An_Prec!$U:$U,$B202,BV_Data_An_Prec!$V:$V,$C202,BV_Data_An_Prec!$W:$W,$L$2)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4"/>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1">L203-I203</f>
        <v>0</v>
      </c>
      <c r="O203" s="297"/>
      <c r="P203" s="172"/>
      <c r="Q203" s="174">
        <f>SUMIFS(BV_Data_An_Prec!$P:$P,BV_Data_An_Prec!$U:$U,$B203,BV_Data_An_Prec!$V:$V,$C203,BV_Data_An_Prec!$W:$W,$L$2)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4"/>
        <v>ServiceSalaires en absences</v>
      </c>
      <c r="B204" s="24" t="s">
        <v>155</v>
      </c>
      <c r="C204" s="300" t="s">
        <v>116</v>
      </c>
      <c r="D204" s="295"/>
      <c r="E204" s="172"/>
      <c r="F204" s="173">
        <f>+SUMPRODUCT(('Budget original'!$A$8:$A$500=$A204)*('Budget original'!$C$3:$AO$3=F$2),'Budget original'!$C$8:$AO$500)</f>
        <v>162202.3397402449</v>
      </c>
      <c r="G204" s="296"/>
      <c r="H204" s="172"/>
      <c r="I204" s="173">
        <f>+SUMPRODUCT(('Budget révisé'!$A$8:$A$500=$A204)*('Budget révisé'!$C$3:$AO$3=I$2),'Budget révisé'!$C$8:$AO$500)</f>
        <v>162202.3397402449</v>
      </c>
      <c r="J204" s="297"/>
      <c r="K204" s="172"/>
      <c r="L204" s="174">
        <f>SUMIFS(BV_Data_An_Cour!$Q:$Q,BV_Data_An_Cour!$V:$V,$B204,BV_Data_An_Cour!$W:$W,$C204,BV_Data_An_Cour!$X:$X,$L$2)</f>
        <v>0</v>
      </c>
      <c r="M204" s="297"/>
      <c r="N204" s="298">
        <f t="shared" si="121"/>
        <v>-162202.3397402449</v>
      </c>
      <c r="O204" s="297"/>
      <c r="P204" s="172"/>
      <c r="Q204" s="174">
        <f>SUMIFS(BV_Data_An_Prec!$P:$P,BV_Data_An_Prec!$U:$U,$B204,BV_Data_An_Prec!$V:$V,$C204,BV_Data_An_Prec!$W:$W,$L$2)</f>
        <v>143739.56</v>
      </c>
      <c r="R204" s="297"/>
      <c r="S204" s="193">
        <f t="shared" si="122"/>
        <v>-143739.56</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4"/>
        <v>ServiceDéduction à la source</v>
      </c>
      <c r="B205" s="24" t="s">
        <v>155</v>
      </c>
      <c r="C205" s="274" t="s">
        <v>117</v>
      </c>
      <c r="D205" s="386"/>
      <c r="E205" s="346"/>
      <c r="F205" s="423">
        <f>+SUMPRODUCT(('Budget original'!$A$8:$A$500=$A205)*('Budget original'!$C$3:$AO$3=F$2),'Budget original'!$C$8:$AO$500)</f>
        <v>145268.82190650102</v>
      </c>
      <c r="G205" s="387"/>
      <c r="H205" s="346"/>
      <c r="I205" s="423">
        <f>+SUMPRODUCT(('Budget révisé'!$A$8:$A$500=$A205)*('Budget révisé'!$C$3:$AO$3=I$2),'Budget révisé'!$C$8:$AO$500)</f>
        <v>145268.82190650102</v>
      </c>
      <c r="J205" s="362"/>
      <c r="K205" s="346"/>
      <c r="L205" s="175">
        <f>SUMIFS(BV_Data_An_Cour!$Q:$Q,BV_Data_An_Cour!$V:$V,$B205,BV_Data_An_Cour!$W:$W,$C205,BV_Data_An_Cour!$X:$X,$L$2)</f>
        <v>0</v>
      </c>
      <c r="M205" s="362"/>
      <c r="N205" s="350">
        <f t="shared" si="119"/>
        <v>-145268.82190650102</v>
      </c>
      <c r="O205" s="362"/>
      <c r="P205" s="346"/>
      <c r="Q205" s="175">
        <f>SUMIFS(BV_Data_An_Prec!$P:$P,BV_Data_An_Prec!$U:$U,$B205,BV_Data_An_Prec!$V:$V,$C205,BV_Data_An_Prec!$W:$W,$L$2)</f>
        <v>146251.26999999999</v>
      </c>
      <c r="R205" s="362"/>
      <c r="S205" s="195">
        <f t="shared" si="120"/>
        <v>-146251.26999999999</v>
      </c>
      <c r="T205" s="216"/>
      <c r="U205" s="955">
        <f>L205-Print_Mois!L205</f>
        <v>0</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4"/>
        <v>ServiceBénéfices marginaux</v>
      </c>
      <c r="B206" s="24" t="s">
        <v>155</v>
      </c>
      <c r="C206" s="274" t="s">
        <v>118</v>
      </c>
      <c r="D206" s="295"/>
      <c r="E206" s="172"/>
      <c r="F206" s="173">
        <f>+SUMPRODUCT(('Budget original'!$A$8:$A$500=$A206)*('Budget original'!$C$3:$AO$3=F$2),'Budget original'!$C$8:$AO$500)</f>
        <v>115360.53504339789</v>
      </c>
      <c r="G206" s="296"/>
      <c r="H206" s="172"/>
      <c r="I206" s="173">
        <f>+SUMPRODUCT(('Budget révisé'!$A$8:$A$500=$A206)*('Budget révisé'!$C$3:$AO$3=I$2),'Budget révisé'!$C$8:$AO$500)</f>
        <v>115360.53504339789</v>
      </c>
      <c r="J206" s="297"/>
      <c r="K206" s="172"/>
      <c r="L206" s="174">
        <f>SUMIFS(BV_Data_An_Cour!$Q:$Q,BV_Data_An_Cour!$V:$V,$B206,BV_Data_An_Cour!$W:$W,$C206,BV_Data_An_Cour!$X:$X,$L$2)</f>
        <v>0</v>
      </c>
      <c r="M206" s="297"/>
      <c r="N206" s="298">
        <f t="shared" si="119"/>
        <v>-115360.53504339789</v>
      </c>
      <c r="O206" s="297"/>
      <c r="P206" s="172"/>
      <c r="Q206" s="174">
        <f>SUMIFS(BV_Data_An_Prec!$P:$P,BV_Data_An_Prec!$U:$U,$B206,BV_Data_An_Prec!$V:$V,$C206,BV_Data_An_Prec!$W:$W,$L$2)</f>
        <v>104813.4</v>
      </c>
      <c r="R206" s="297"/>
      <c r="S206" s="193">
        <f t="shared" si="120"/>
        <v>-104813.4</v>
      </c>
      <c r="T206" s="216"/>
      <c r="U206" s="955">
        <f>L206-Print_Mois!L206</f>
        <v>0</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4"/>
        <v>ServiceCsst</v>
      </c>
      <c r="B207" s="24" t="s">
        <v>155</v>
      </c>
      <c r="C207" s="274" t="s">
        <v>119</v>
      </c>
      <c r="D207" s="295"/>
      <c r="E207" s="172"/>
      <c r="F207" s="173">
        <f>+SUMPRODUCT(('Budget original'!$A$8:$A$500=$A207)*('Budget original'!$C$3:$AO$3=F$2),'Budget original'!$C$8:$AO$500)</f>
        <v>46998.736499162107</v>
      </c>
      <c r="G207" s="296"/>
      <c r="H207" s="172"/>
      <c r="I207" s="173">
        <f>+SUMPRODUCT(('Budget révisé'!$A$8:$A$500=$A207)*('Budget révisé'!$C$3:$AO$3=I$2),'Budget révisé'!$C$8:$AO$500)</f>
        <v>46998.736499162107</v>
      </c>
      <c r="J207" s="297"/>
      <c r="K207" s="172"/>
      <c r="L207" s="174">
        <f>SUMIFS(BV_Data_An_Cour!$Q:$Q,BV_Data_An_Cour!$V:$V,$B207,BV_Data_An_Cour!$W:$W,$C207,BV_Data_An_Cour!$X:$X,$L$2)</f>
        <v>0</v>
      </c>
      <c r="M207" s="297"/>
      <c r="N207" s="298">
        <f t="shared" si="119"/>
        <v>-46998.736499162107</v>
      </c>
      <c r="O207" s="297"/>
      <c r="P207" s="172"/>
      <c r="Q207" s="174">
        <f>SUMIFS(BV_Data_An_Prec!$P:$P,BV_Data_An_Prec!$U:$U,$B207,BV_Data_An_Prec!$V:$V,$C207,BV_Data_An_Prec!$W:$W,$L$2)</f>
        <v>24375.22</v>
      </c>
      <c r="R207" s="297"/>
      <c r="S207" s="193">
        <f t="shared" si="120"/>
        <v>-24375.22</v>
      </c>
      <c r="T207" s="216"/>
      <c r="U207" s="955">
        <f>L207-Print_Mois!L207</f>
        <v>0</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4"/>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19"/>
        <v>0</v>
      </c>
      <c r="O208" s="304"/>
      <c r="P208" s="302"/>
      <c r="Q208" s="174">
        <f>SUMIFS(BV_Data_An_Prec!$P:$P,BV_Data_An_Prec!$U:$U,$B208,BV_Data_An_Prec!$V:$V,$C208,BV_Data_An_Prec!$W:$W,$L$2)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4"/>
        <v>ServiceTOTAL PERSONNEL</v>
      </c>
      <c r="B209" s="24" t="s">
        <v>155</v>
      </c>
      <c r="C209" s="292" t="s">
        <v>120</v>
      </c>
      <c r="D209" s="39" t="s">
        <v>170</v>
      </c>
      <c r="E209" s="40">
        <f>F209/F$193</f>
        <v>0.63577761580337933</v>
      </c>
      <c r="F209" s="41">
        <f>+SUM(F197:F208)</f>
        <v>1110014.6561075514</v>
      </c>
      <c r="G209" s="42" t="s">
        <v>170</v>
      </c>
      <c r="H209" s="40">
        <f>I209/I$193</f>
        <v>0.63577761580337933</v>
      </c>
      <c r="I209" s="41">
        <f>+SUM(I197:I208)</f>
        <v>1110014.6561075514</v>
      </c>
      <c r="J209" s="42" t="s">
        <v>170</v>
      </c>
      <c r="K209" s="40" t="e">
        <f>L209/L$193</f>
        <v>#DIV/0!</v>
      </c>
      <c r="L209" s="41">
        <f>+SUM(L197:L208)</f>
        <v>0</v>
      </c>
      <c r="M209" s="43"/>
      <c r="N209" s="46">
        <f t="shared" si="119"/>
        <v>-1110014.6561075514</v>
      </c>
      <c r="O209" s="42" t="s">
        <v>170</v>
      </c>
      <c r="P209" s="40">
        <f>Q209/Q$193</f>
        <v>0.61510105037797802</v>
      </c>
      <c r="Q209" s="41">
        <f>+SUM(Q197:Q208)</f>
        <v>968022.69000000006</v>
      </c>
      <c r="R209" s="43"/>
      <c r="S209" s="293">
        <f t="shared" si="120"/>
        <v>-968022.69000000006</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4"/>
        <v>ServicePublicité 2</v>
      </c>
      <c r="B210" s="24" t="s">
        <v>155</v>
      </c>
      <c r="C210" s="544" t="s">
        <v>121</v>
      </c>
      <c r="D210" s="295"/>
      <c r="E210" s="172"/>
      <c r="F210" s="173">
        <f>+SUMPRODUCT(('Budget original'!$A$8:$A$500=$A210)*('Budget original'!$C$3:$AO$3=F$2),'Budget original'!$C$8:$AO$500)</f>
        <v>69187.624999999985</v>
      </c>
      <c r="G210" s="296"/>
      <c r="H210" s="172"/>
      <c r="I210" s="173">
        <f>+SUMPRODUCT(('Budget révisé'!$A$8:$A$500=$A210)*('Budget révisé'!$C$3:$AO$3=I$2),'Budget révisé'!$C$8:$AO$500)</f>
        <v>69187.624999999985</v>
      </c>
      <c r="J210" s="297"/>
      <c r="K210" s="172"/>
      <c r="L210" s="174">
        <f>SUMIFS(BV_Data_An_Cour!$Q:$Q,BV_Data_An_Cour!$V:$V,$B210,BV_Data_An_Cour!$W:$W,$C210,BV_Data_An_Cour!$X:$X,$L$2)</f>
        <v>0</v>
      </c>
      <c r="M210" s="297"/>
      <c r="N210" s="298">
        <f t="shared" si="119"/>
        <v>-69187.624999999985</v>
      </c>
      <c r="O210" s="297"/>
      <c r="P210" s="172"/>
      <c r="Q210" s="174">
        <f>SUMIFS(BV_Data_An_Prec!$P:$P,BV_Data_An_Prec!$U:$U,$B210,BV_Data_An_Prec!$V:$V,$C210,BV_Data_An_Prec!$W:$W,$L$2)</f>
        <v>67154.05</v>
      </c>
      <c r="R210" s="297"/>
      <c r="S210" s="193">
        <f t="shared" si="120"/>
        <v>-67154.05</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4"/>
        <v>ServiceService gratuit 2</v>
      </c>
      <c r="B211" s="24" t="s">
        <v>155</v>
      </c>
      <c r="C211" s="258" t="s">
        <v>122</v>
      </c>
      <c r="D211" s="295"/>
      <c r="E211" s="172"/>
      <c r="F211" s="173">
        <f>+SUMPRODUCT(('Budget original'!$A$8:$A$500=$A211)*('Budget original'!$C$3:$AO$3=F$2),'Budget original'!$C$8:$AO$500)</f>
        <v>27105.826901800279</v>
      </c>
      <c r="G211" s="296"/>
      <c r="H211" s="172"/>
      <c r="I211" s="173">
        <f>+SUMPRODUCT(('Budget révisé'!$A$8:$A$500=$A211)*('Budget révisé'!$C$3:$AO$3=I$2),'Budget révisé'!$C$8:$AO$500)</f>
        <v>27105.826901800279</v>
      </c>
      <c r="J211" s="297"/>
      <c r="K211" s="172"/>
      <c r="L211" s="956">
        <f>SUMIFS(BV_Data_An_Cour!$Q:$Q,BV_Data_An_Cour!$V:$V,$B211,BV_Data_An_Cour!$W:$W,$C211,BV_Data_An_Cour!$X:$X,$L$2)</f>
        <v>0</v>
      </c>
      <c r="M211" s="297"/>
      <c r="N211" s="298">
        <f t="shared" si="119"/>
        <v>-27105.826901800279</v>
      </c>
      <c r="O211" s="297"/>
      <c r="P211" s="172"/>
      <c r="Q211" s="174">
        <f>SUMIFS(BV_Data_An_Prec!$P:$P,BV_Data_An_Prec!$U:$U,$B211,BV_Data_An_Prec!$V:$V,$C211,BV_Data_An_Prec!$W:$W,$L$2)</f>
        <v>31083.06</v>
      </c>
      <c r="R211" s="297"/>
      <c r="S211" s="193">
        <f t="shared" si="120"/>
        <v>-31083.06</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4"/>
        <v>ServiceFrais véhicules de cie</v>
      </c>
      <c r="B212" s="24" t="s">
        <v>155</v>
      </c>
      <c r="C212" s="320" t="s">
        <v>123</v>
      </c>
      <c r="D212" s="301"/>
      <c r="E212" s="302"/>
      <c r="F212" s="171">
        <f>+SUMPRODUCT(('Budget original'!$A$8:$A$500=$A212)*('Budget original'!$C$3:$AO$3=F$2),'Budget original'!$C$8:$AO$500)</f>
        <v>128634.94444444445</v>
      </c>
      <c r="G212" s="303"/>
      <c r="H212" s="302"/>
      <c r="I212" s="171">
        <f>+SUMPRODUCT(('Budget révisé'!$A$8:$A$500=$A212)*('Budget révisé'!$C$3:$AO$3=I$2),'Budget révisé'!$C$8:$AO$500)</f>
        <v>128634.94444444445</v>
      </c>
      <c r="J212" s="304"/>
      <c r="K212" s="302"/>
      <c r="L212" s="174">
        <f>SUMIFS(BV_Data_An_Cour!$Q:$Q,BV_Data_An_Cour!$V:$V,$B212,BV_Data_An_Cour!$W:$W,$C212,BV_Data_An_Cour!$X:$X,$L$2)</f>
        <v>0</v>
      </c>
      <c r="M212" s="304"/>
      <c r="N212" s="305">
        <f t="shared" si="119"/>
        <v>-128634.94444444445</v>
      </c>
      <c r="O212" s="304"/>
      <c r="P212" s="302"/>
      <c r="Q212" s="174">
        <f>SUMIFS(BV_Data_An_Prec!$P:$P,BV_Data_An_Prec!$U:$U,$B212,BV_Data_An_Prec!$V:$V,$C212,BV_Data_An_Prec!$W:$W,$L$2)</f>
        <v>150232.19</v>
      </c>
      <c r="R212" s="304"/>
      <c r="S212" s="196">
        <f t="shared" si="120"/>
        <v>-150232.19</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4"/>
        <v>ServiceInformatique</v>
      </c>
      <c r="B213" s="24" t="s">
        <v>155</v>
      </c>
      <c r="C213" s="258" t="s">
        <v>124</v>
      </c>
      <c r="D213" s="295"/>
      <c r="E213" s="172"/>
      <c r="F213" s="173">
        <f>+SUMPRODUCT(('Budget original'!$A$8:$A$500=$A213)*('Budget original'!$C$3:$AO$3=F$2),'Budget original'!$C$8:$AO$500)</f>
        <v>59687.398199999996</v>
      </c>
      <c r="G213" s="296"/>
      <c r="H213" s="172"/>
      <c r="I213" s="173">
        <f>+SUMPRODUCT(('Budget révisé'!$A$8:$A$500=$A213)*('Budget révisé'!$C$3:$AO$3=I$2),'Budget révisé'!$C$8:$AO$500)</f>
        <v>59687.398199999996</v>
      </c>
      <c r="J213" s="297"/>
      <c r="K213" s="172"/>
      <c r="L213" s="175">
        <f>SUMIFS(BV_Data_An_Cour!$Q:$Q,BV_Data_An_Cour!$V:$V,$B213,BV_Data_An_Cour!$W:$W,$C213,BV_Data_An_Cour!$X:$X,$L$2)</f>
        <v>0</v>
      </c>
      <c r="M213" s="297"/>
      <c r="N213" s="298">
        <f t="shared" si="119"/>
        <v>-59687.398199999996</v>
      </c>
      <c r="O213" s="297"/>
      <c r="P213" s="172"/>
      <c r="Q213" s="175">
        <f>SUMIFS(BV_Data_An_Prec!$P:$P,BV_Data_An_Prec!$U:$U,$B213,BV_Data_An_Prec!$V:$V,$C213,BV_Data_An_Prec!$W:$W,$L$2)</f>
        <v>39144.42</v>
      </c>
      <c r="R213" s="297"/>
      <c r="S213" s="193">
        <f t="shared" si="120"/>
        <v>-39144.42</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4"/>
        <v>ServiceFrais de déplacement</v>
      </c>
      <c r="B214" s="24" t="s">
        <v>155</v>
      </c>
      <c r="C214" s="258" t="s">
        <v>125</v>
      </c>
      <c r="D214" s="295"/>
      <c r="E214" s="172"/>
      <c r="F214" s="173">
        <f>+SUMPRODUCT(('Budget original'!$A$8:$A$500=$A214)*('Budget original'!$C$3:$AO$3=F$2),'Budget original'!$C$8:$AO$500)</f>
        <v>5941.0635000000002</v>
      </c>
      <c r="G214" s="296"/>
      <c r="H214" s="172"/>
      <c r="I214" s="173">
        <f>+SUMPRODUCT(('Budget révisé'!$A$8:$A$500=$A214)*('Budget révisé'!$C$3:$AO$3=I$2),'Budget révisé'!$C$8:$AO$500)</f>
        <v>5941.0635000000002</v>
      </c>
      <c r="J214" s="297"/>
      <c r="K214" s="172"/>
      <c r="L214" s="174">
        <f>SUMIFS(BV_Data_An_Cour!$Q:$Q,BV_Data_An_Cour!$V:$V,$B214,BV_Data_An_Cour!$W:$W,$C214,BV_Data_An_Cour!$X:$X,$L$2)</f>
        <v>0</v>
      </c>
      <c r="M214" s="297"/>
      <c r="N214" s="298">
        <f t="shared" si="119"/>
        <v>-5941.0635000000002</v>
      </c>
      <c r="O214" s="297"/>
      <c r="P214" s="172"/>
      <c r="Q214" s="174">
        <f>SUMIFS(BV_Data_An_Prec!$P:$P,BV_Data_An_Prec!$U:$U,$B214,BV_Data_An_Prec!$V:$V,$C214,BV_Data_An_Prec!$W:$W,$L$2)</f>
        <v>4280.0600000000004</v>
      </c>
      <c r="R214" s="297"/>
      <c r="S214" s="193">
        <f t="shared" si="120"/>
        <v>-4280.0600000000004</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4"/>
        <v>ServiceServices extérieurs</v>
      </c>
      <c r="B215" s="24" t="s">
        <v>155</v>
      </c>
      <c r="C215" s="320" t="s">
        <v>126</v>
      </c>
      <c r="D215" s="301"/>
      <c r="E215" s="302"/>
      <c r="F215" s="171">
        <f>+SUMPRODUCT(('Budget original'!$A$8:$A$500=$A215)*('Budget original'!$C$3:$AO$3=F$2),'Budget original'!$C$8:$AO$500)</f>
        <v>34745.830133333329</v>
      </c>
      <c r="G215" s="303"/>
      <c r="H215" s="302"/>
      <c r="I215" s="171">
        <f>+SUMPRODUCT(('Budget révisé'!$A$8:$A$500=$A215)*('Budget révisé'!$C$3:$AO$3=I$2),'Budget révisé'!$C$8:$AO$500)</f>
        <v>34745.830133333329</v>
      </c>
      <c r="J215" s="304"/>
      <c r="K215" s="302"/>
      <c r="L215" s="174">
        <f>SUMIFS(BV_Data_An_Cour!$Q:$Q,BV_Data_An_Cour!$V:$V,$B215,BV_Data_An_Cour!$W:$W,$C215,BV_Data_An_Cour!$X:$X,$L$2)</f>
        <v>0</v>
      </c>
      <c r="M215" s="304"/>
      <c r="N215" s="305">
        <f t="shared" si="119"/>
        <v>-34745.830133333329</v>
      </c>
      <c r="O215" s="304"/>
      <c r="P215" s="302"/>
      <c r="Q215" s="174">
        <f>SUMIFS(BV_Data_An_Prec!$P:$P,BV_Data_An_Prec!$U:$U,$B215,BV_Data_An_Prec!$V:$V,$C215,BV_Data_An_Prec!$W:$W,$L$2)</f>
        <v>22311.18</v>
      </c>
      <c r="R215" s="304"/>
      <c r="S215" s="196">
        <f t="shared" si="120"/>
        <v>-22311.18</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3">+B216&amp;C216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4">L216-I216</f>
        <v>0</v>
      </c>
      <c r="O216" s="297"/>
      <c r="P216" s="172"/>
      <c r="Q216" s="175">
        <f>SUMIFS(BV_Data_An_Prec!$P:$P,BV_Data_An_Prec!$U:$U,$B216,BV_Data_An_Prec!$V:$V,$C216,BV_Data_An_Prec!$W:$W,$L$2)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4"/>
        <v>ServiceFournitures autres</v>
      </c>
      <c r="B217" s="24" t="s">
        <v>155</v>
      </c>
      <c r="C217" s="258" t="s">
        <v>127</v>
      </c>
      <c r="D217" s="295"/>
      <c r="E217" s="172"/>
      <c r="F217" s="173">
        <f>+SUMPRODUCT(('Budget original'!$A$8:$A$500=$A217)*('Budget original'!$C$3:$AO$3=F$2),'Budget original'!$C$8:$AO$500)</f>
        <v>11459.102028149149</v>
      </c>
      <c r="G217" s="296"/>
      <c r="H217" s="172"/>
      <c r="I217" s="173">
        <f>+SUMPRODUCT(('Budget révisé'!$A$8:$A$500=$A217)*('Budget révisé'!$C$3:$AO$3=I$2),'Budget révisé'!$C$8:$AO$500)</f>
        <v>11459.102028149149</v>
      </c>
      <c r="J217" s="297"/>
      <c r="K217" s="172"/>
      <c r="L217" s="174">
        <f>SUMIFS(BV_Data_An_Cour!$Q:$Q,BV_Data_An_Cour!$V:$V,$B217,BV_Data_An_Cour!$W:$W,$C217,BV_Data_An_Cour!$X:$X,$L$2)</f>
        <v>0</v>
      </c>
      <c r="M217" s="297"/>
      <c r="N217" s="298">
        <f t="shared" si="119"/>
        <v>-11459.102028149149</v>
      </c>
      <c r="O217" s="297"/>
      <c r="P217" s="172"/>
      <c r="Q217" s="174">
        <f>SUMIFS(BV_Data_An_Prec!$P:$P,BV_Data_An_Prec!$U:$U,$B217,BV_Data_An_Prec!$V:$V,$C217,BV_Data_An_Prec!$W:$W,$L$2)</f>
        <v>8059.19</v>
      </c>
      <c r="R217" s="297"/>
      <c r="S217" s="193">
        <f t="shared" si="120"/>
        <v>-8059.19</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4"/>
        <v>ServiceUniformes</v>
      </c>
      <c r="B218" s="24" t="s">
        <v>155</v>
      </c>
      <c r="C218" s="258" t="s">
        <v>128</v>
      </c>
      <c r="D218" s="295"/>
      <c r="E218" s="172"/>
      <c r="F218" s="173">
        <f>+SUMPRODUCT(('Budget original'!$A$8:$A$500=$A218)*('Budget original'!$C$3:$AO$3=F$2),'Budget original'!$C$8:$AO$500)</f>
        <v>6089.0655833837982</v>
      </c>
      <c r="G218" s="296"/>
      <c r="H218" s="172"/>
      <c r="I218" s="173">
        <f>+SUMPRODUCT(('Budget révisé'!$A$8:$A$500=$A218)*('Budget révisé'!$C$3:$AO$3=I$2),'Budget révisé'!$C$8:$AO$500)</f>
        <v>6089.0655833837982</v>
      </c>
      <c r="J218" s="297"/>
      <c r="K218" s="172"/>
      <c r="L218" s="174">
        <f>SUMIFS(BV_Data_An_Cour!$Q:$Q,BV_Data_An_Cour!$V:$V,$B218,BV_Data_An_Cour!$W:$W,$C218,BV_Data_An_Cour!$X:$X,$L$2)</f>
        <v>0</v>
      </c>
      <c r="M218" s="297"/>
      <c r="N218" s="298">
        <f t="shared" si="119"/>
        <v>-6089.0655833837982</v>
      </c>
      <c r="O218" s="297"/>
      <c r="P218" s="172"/>
      <c r="Q218" s="174">
        <f>SUMIFS(BV_Data_An_Prec!$P:$P,BV_Data_An_Prec!$U:$U,$B218,BV_Data_An_Prec!$V:$V,$C218,BV_Data_An_Prec!$W:$W,$L$2)</f>
        <v>6558.14</v>
      </c>
      <c r="R218" s="297"/>
      <c r="S218" s="193">
        <f t="shared" si="120"/>
        <v>-6558.14</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4"/>
        <v>ServicePapeterie</v>
      </c>
      <c r="B219" s="24" t="s">
        <v>155</v>
      </c>
      <c r="C219" s="258" t="s">
        <v>129</v>
      </c>
      <c r="D219" s="295"/>
      <c r="E219" s="172"/>
      <c r="F219" s="173">
        <f>+SUMPRODUCT(('Budget original'!$A$8:$A$500=$A219)*('Budget original'!$C$3:$AO$3=F$2),'Budget original'!$C$8:$AO$500)</f>
        <v>4896.4824000000008</v>
      </c>
      <c r="G219" s="296"/>
      <c r="H219" s="172"/>
      <c r="I219" s="173">
        <f>+SUMPRODUCT(('Budget révisé'!$A$8:$A$500=$A219)*('Budget révisé'!$C$3:$AO$3=I$2),'Budget révisé'!$C$8:$AO$500)</f>
        <v>4896.4824000000008</v>
      </c>
      <c r="J219" s="297"/>
      <c r="K219" s="172"/>
      <c r="L219" s="548">
        <f>SUMIFS(BV_Data_An_Cour!$Q:$Q,BV_Data_An_Cour!$V:$V,$B219,BV_Data_An_Cour!$W:$W,$C219,BV_Data_An_Cour!$X:$X,$L$2)</f>
        <v>0</v>
      </c>
      <c r="M219" s="297"/>
      <c r="N219" s="298">
        <f t="shared" si="119"/>
        <v>-4896.4824000000008</v>
      </c>
      <c r="O219" s="297"/>
      <c r="P219" s="172"/>
      <c r="Q219" s="548">
        <f>SUMIFS(BV_Data_An_Prec!$P:$P,BV_Data_An_Prec!$U:$U,$B219,BV_Data_An_Prec!$V:$V,$C219,BV_Data_An_Prec!$W:$W,$L$2)</f>
        <v>5906</v>
      </c>
      <c r="R219" s="297"/>
      <c r="S219" s="193">
        <f t="shared" si="120"/>
        <v>-5906</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4"/>
        <v>ServiceTéléphone</v>
      </c>
      <c r="B220" s="24" t="s">
        <v>155</v>
      </c>
      <c r="C220" s="258" t="s">
        <v>130</v>
      </c>
      <c r="D220" s="295"/>
      <c r="E220" s="172"/>
      <c r="F220" s="173">
        <f>+SUMPRODUCT(('Budget original'!$A$8:$A$500=$A220)*('Budget original'!$C$3:$AO$3=F$2),'Budget original'!$C$8:$AO$500)</f>
        <v>2260.9839500000003</v>
      </c>
      <c r="G220" s="296"/>
      <c r="H220" s="172"/>
      <c r="I220" s="173">
        <f>+SUMPRODUCT(('Budget révisé'!$A$8:$A$500=$A220)*('Budget révisé'!$C$3:$AO$3=I$2),'Budget révisé'!$C$8:$AO$500)</f>
        <v>2260.9839500000003</v>
      </c>
      <c r="J220" s="297"/>
      <c r="K220" s="172"/>
      <c r="L220" s="275">
        <f>SUMIFS(BV_Data_An_Cour!$Q:$Q,BV_Data_An_Cour!$V:$V,$B220,BV_Data_An_Cour!$W:$W,$C220,BV_Data_An_Cour!$X:$X,$L$2)</f>
        <v>0</v>
      </c>
      <c r="M220" s="297"/>
      <c r="N220" s="298">
        <f t="shared" si="119"/>
        <v>-2260.9839500000003</v>
      </c>
      <c r="O220" s="297"/>
      <c r="P220" s="172"/>
      <c r="Q220" s="174">
        <f>SUMIFS(BV_Data_An_Prec!$P:$P,BV_Data_An_Prec!$U:$U,$B220,BV_Data_An_Prec!$V:$V,$C220,BV_Data_An_Prec!$W:$W,$L$2)</f>
        <v>2650.4</v>
      </c>
      <c r="R220" s="297"/>
      <c r="S220" s="193">
        <f t="shared" si="120"/>
        <v>-2650.4</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4"/>
        <v>ServiceFrais postaux</v>
      </c>
      <c r="B221" s="24" t="s">
        <v>155</v>
      </c>
      <c r="C221" s="258" t="s">
        <v>131</v>
      </c>
      <c r="D221" s="295"/>
      <c r="E221" s="172"/>
      <c r="F221" s="173">
        <f>+SUMPRODUCT(('Budget original'!$A$8:$A$500=$A221)*('Budget original'!$C$3:$AO$3=F$2),'Budget original'!$C$8:$AO$500)</f>
        <v>1206.87805</v>
      </c>
      <c r="G221" s="296"/>
      <c r="H221" s="172"/>
      <c r="I221" s="173">
        <f>+SUMPRODUCT(('Budget révisé'!$A$8:$A$500=$A221)*('Budget révisé'!$C$3:$AO$3=I$2),'Budget révisé'!$C$8:$AO$500)</f>
        <v>1206.87805</v>
      </c>
      <c r="J221" s="297"/>
      <c r="K221" s="172"/>
      <c r="L221" s="275">
        <f>SUMIFS(BV_Data_An_Cour!$Q:$Q,BV_Data_An_Cour!$V:$V,$B221,BV_Data_An_Cour!$W:$W,$C221,BV_Data_An_Cour!$X:$X,$L$2)</f>
        <v>0</v>
      </c>
      <c r="M221" s="297"/>
      <c r="N221" s="298">
        <f t="shared" si="119"/>
        <v>-1206.87805</v>
      </c>
      <c r="O221" s="297"/>
      <c r="P221" s="172"/>
      <c r="Q221" s="174">
        <f>SUMIFS(BV_Data_An_Prec!$P:$P,BV_Data_An_Prec!$U:$U,$B221,BV_Data_An_Prec!$V:$V,$C221,BV_Data_An_Prec!$W:$W,$L$2)</f>
        <v>1536.28</v>
      </c>
      <c r="R221" s="297"/>
      <c r="S221" s="193">
        <f t="shared" si="120"/>
        <v>-1536.28</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4"/>
        <v>ServiceDivers</v>
      </c>
      <c r="B222" s="24" t="s">
        <v>155</v>
      </c>
      <c r="C222" s="258" t="s">
        <v>132</v>
      </c>
      <c r="D222" s="295"/>
      <c r="E222" s="172"/>
      <c r="F222" s="173">
        <f>+SUMPRODUCT(('Budget original'!$A$8:$A$500=$A222)*('Budget original'!$C$3:$AO$3=F$2),'Budget original'!$C$8:$AO$500)</f>
        <v>5821.751949999998</v>
      </c>
      <c r="G222" s="296"/>
      <c r="H222" s="172"/>
      <c r="I222" s="173">
        <f>+SUMPRODUCT(('Budget révisé'!$A$8:$A$500=$A222)*('Budget révisé'!$C$3:$AO$3=I$2),'Budget révisé'!$C$8:$AO$500)</f>
        <v>5821.751949999998</v>
      </c>
      <c r="J222" s="297"/>
      <c r="K222" s="172"/>
      <c r="L222" s="275">
        <f>SUMIFS(BV_Data_An_Cour!$Q:$Q,BV_Data_An_Cour!$V:$V,$B222,BV_Data_An_Cour!$W:$W,$C222,BV_Data_An_Cour!$X:$X,$L$2)</f>
        <v>0</v>
      </c>
      <c r="M222" s="297"/>
      <c r="N222" s="298">
        <f t="shared" si="119"/>
        <v>-5821.751949999998</v>
      </c>
      <c r="O222" s="297"/>
      <c r="P222" s="172"/>
      <c r="Q222" s="174">
        <f>SUMIFS(BV_Data_An_Prec!$P:$P,BV_Data_An_Prec!$U:$U,$B222,BV_Data_An_Prec!$V:$V,$C222,BV_Data_An_Prec!$W:$W,$L$2)</f>
        <v>5532.46</v>
      </c>
      <c r="R222" s="297"/>
      <c r="S222" s="193">
        <f t="shared" si="120"/>
        <v>-5532.46</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4"/>
        <v>ServiceFormation</v>
      </c>
      <c r="B223" s="24" t="s">
        <v>155</v>
      </c>
      <c r="C223" s="258" t="s">
        <v>133</v>
      </c>
      <c r="D223" s="295"/>
      <c r="E223" s="172"/>
      <c r="F223" s="173">
        <f>+SUMPRODUCT(('Budget original'!$A$8:$A$500=$A223)*('Budget original'!$C$3:$AO$3=F$2),'Budget original'!$C$8:$AO$500)</f>
        <v>8649.4219999999968</v>
      </c>
      <c r="G223" s="296"/>
      <c r="H223" s="172"/>
      <c r="I223" s="173">
        <f>+SUMPRODUCT(('Budget révisé'!$A$8:$A$500=$A223)*('Budget révisé'!$C$3:$AO$3=I$2),'Budget révisé'!$C$8:$AO$500)</f>
        <v>8649.4219999999968</v>
      </c>
      <c r="J223" s="297"/>
      <c r="K223" s="172"/>
      <c r="L223" s="275">
        <f>SUMIFS(BV_Data_An_Cour!$Q:$Q,BV_Data_An_Cour!$V:$V,$B223,BV_Data_An_Cour!$W:$W,$C223,BV_Data_An_Cour!$X:$X,$L$2)</f>
        <v>0</v>
      </c>
      <c r="M223" s="297"/>
      <c r="N223" s="298">
        <f t="shared" si="119"/>
        <v>-8649.4219999999968</v>
      </c>
      <c r="O223" s="297"/>
      <c r="P223" s="172"/>
      <c r="Q223" s="174">
        <f>SUMIFS(BV_Data_An_Prec!$P:$P,BV_Data_An_Prec!$U:$U,$B223,BV_Data_An_Prec!$V:$V,$C223,BV_Data_An_Prec!$W:$W,$L$2)</f>
        <v>11474.97</v>
      </c>
      <c r="R223" s="297"/>
      <c r="S223" s="193">
        <f t="shared" si="120"/>
        <v>-11474.97</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4"/>
        <v>ServiceFrais bancaires</v>
      </c>
      <c r="B224" s="24" t="s">
        <v>155</v>
      </c>
      <c r="C224" s="258" t="s">
        <v>134</v>
      </c>
      <c r="D224" s="295"/>
      <c r="E224" s="172"/>
      <c r="F224" s="173">
        <f>+SUMPRODUCT(('Budget original'!$A$8:$A$500=$A224)*('Budget original'!$C$3:$AO$3=F$2),'Budget original'!$C$8:$AO$500)</f>
        <v>16225.588543898944</v>
      </c>
      <c r="G224" s="296"/>
      <c r="H224" s="172"/>
      <c r="I224" s="173">
        <f>+SUMPRODUCT(('Budget révisé'!$A$8:$A$500=$A224)*('Budget révisé'!$C$3:$AO$3=I$2),'Budget révisé'!$C$8:$AO$500)</f>
        <v>16225.588543898944</v>
      </c>
      <c r="J224" s="297"/>
      <c r="K224" s="172"/>
      <c r="L224" s="275">
        <f>AF447*W5</f>
        <v>0</v>
      </c>
      <c r="M224" s="297"/>
      <c r="N224" s="298">
        <f t="shared" si="119"/>
        <v>-16225.588543898944</v>
      </c>
      <c r="O224" s="297"/>
      <c r="P224" s="172"/>
      <c r="Q224" s="174">
        <f>AL447*W5</f>
        <v>15067.527749999999</v>
      </c>
      <c r="R224" s="297"/>
      <c r="S224" s="193">
        <f t="shared" si="120"/>
        <v>-15067.527749999999</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4"/>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19"/>
        <v>0</v>
      </c>
      <c r="O225" s="297"/>
      <c r="P225" s="172"/>
      <c r="Q225" s="174">
        <f>SUMIFS(BV_Data_An_Prec!$P:$P,BV_Data_An_Prec!$U:$U,$B225,BV_Data_An_Prec!$V:$V,$C225,BV_Data_An_Prec!$W:$W,$L$2)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6">+B226&amp;C226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7">L226-I226</f>
        <v>0</v>
      </c>
      <c r="O226" s="297"/>
      <c r="P226" s="172"/>
      <c r="Q226" s="174">
        <f>SUMIFS(BV_Data_An_Prec!$P:$P,BV_Data_An_Prec!$U:$U,$B226,BV_Data_An_Prec!$V:$V,$C226,BV_Data_An_Prec!$W:$W,$L$2)</f>
        <v>0</v>
      </c>
      <c r="R226" s="297"/>
      <c r="S226" s="193">
        <f t="shared" ref="S226" si="128">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4"/>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19"/>
        <v>0</v>
      </c>
      <c r="O227" s="297"/>
      <c r="P227" s="172"/>
      <c r="Q227" s="174">
        <f>SUMIFS(BV_Data_An_Prec!$P:$P,BV_Data_An_Prec!$U:$U,$B227,BV_Data_An_Prec!$V:$V,$C227,BV_Data_An_Prec!$W:$W,$L$2)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0.21874582983806873</v>
      </c>
      <c r="F228" s="41">
        <f>+SUM(F210:F227)</f>
        <v>381911.96268500993</v>
      </c>
      <c r="G228" s="42" t="s">
        <v>170</v>
      </c>
      <c r="H228" s="40">
        <f>I228/I$193</f>
        <v>0.21874582983806873</v>
      </c>
      <c r="I228" s="41">
        <f>+SUM(I210:I227)</f>
        <v>381911.96268500993</v>
      </c>
      <c r="J228" s="42" t="s">
        <v>170</v>
      </c>
      <c r="K228" s="40" t="e">
        <f>L228/L$193</f>
        <v>#DIV/0!</v>
      </c>
      <c r="L228" s="41">
        <f>+SUM(L210:L227)</f>
        <v>0</v>
      </c>
      <c r="M228" s="44"/>
      <c r="N228" s="41">
        <f t="shared" si="119"/>
        <v>-381911.96268500993</v>
      </c>
      <c r="O228" s="42" t="s">
        <v>170</v>
      </c>
      <c r="P228" s="40">
        <f>Q228/Q$193</f>
        <v>0.23573444775212365</v>
      </c>
      <c r="Q228" s="41">
        <f>+SUM(Q210:Q227)</f>
        <v>370989.92775000003</v>
      </c>
      <c r="R228" s="44"/>
      <c r="S228" s="310">
        <f t="shared" si="120"/>
        <v>-370989.92775000003</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0.85452344564144811</v>
      </c>
      <c r="F230" s="41">
        <f>F209+F228</f>
        <v>1491926.6187925613</v>
      </c>
      <c r="G230" s="42" t="s">
        <v>111</v>
      </c>
      <c r="H230" s="40">
        <f>I230/I$193</f>
        <v>0.85452344564144811</v>
      </c>
      <c r="I230" s="41">
        <f>I209+I228</f>
        <v>1491926.6187925613</v>
      </c>
      <c r="J230" s="42" t="s">
        <v>111</v>
      </c>
      <c r="K230" s="40" t="e">
        <f>L230/L$193</f>
        <v>#DIV/0!</v>
      </c>
      <c r="L230" s="41">
        <f>L209+L228</f>
        <v>0</v>
      </c>
      <c r="M230" s="44"/>
      <c r="N230" s="46">
        <f t="shared" ref="N230:N232" si="129">L230-I230</f>
        <v>-1491926.6187925613</v>
      </c>
      <c r="O230" s="42" t="s">
        <v>111</v>
      </c>
      <c r="P230" s="40">
        <f>Q230/Q$193</f>
        <v>0.85083549813010184</v>
      </c>
      <c r="Q230" s="41">
        <f>Q209+Q228</f>
        <v>1339012.6177500002</v>
      </c>
      <c r="R230" s="44"/>
      <c r="S230" s="293">
        <f>L230-Q230</f>
        <v>-1339012.6177500002</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9"/>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253989.92264609574</v>
      </c>
      <c r="G232" s="338"/>
      <c r="H232" s="336"/>
      <c r="I232" s="337">
        <f>I193-I230</f>
        <v>253989.92264609574</v>
      </c>
      <c r="J232" s="339"/>
      <c r="K232" s="340"/>
      <c r="L232" s="337">
        <f>L193-L230</f>
        <v>0</v>
      </c>
      <c r="M232" s="339"/>
      <c r="N232" s="337">
        <f t="shared" si="129"/>
        <v>-253989.92264609574</v>
      </c>
      <c r="O232" s="339"/>
      <c r="P232" s="340"/>
      <c r="Q232" s="337">
        <f>Q193-Q230</f>
        <v>234749.43224999984</v>
      </c>
      <c r="R232" s="339"/>
      <c r="S232" s="341">
        <f>L232-Q232</f>
        <v>-234749.43224999984</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Octobre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21" t="s">
        <v>77</v>
      </c>
      <c r="E237" s="1422"/>
      <c r="F237" s="1423"/>
      <c r="G237" s="1424" t="s">
        <v>145</v>
      </c>
      <c r="H237" s="1422"/>
      <c r="I237" s="1423"/>
      <c r="J237" s="1424" t="s">
        <v>79</v>
      </c>
      <c r="K237" s="1422"/>
      <c r="L237" s="1423"/>
      <c r="M237" s="1424" t="s">
        <v>80</v>
      </c>
      <c r="N237" s="1423"/>
      <c r="O237" s="1421" t="s">
        <v>81</v>
      </c>
      <c r="P237" s="1422"/>
      <c r="Q237" s="1423"/>
      <c r="R237" s="1424" t="s">
        <v>82</v>
      </c>
      <c r="S237" s="1425"/>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0">+B238&amp;C238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0"/>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0"/>
        <v>CarrosserieM/O Sous-traitement</v>
      </c>
      <c r="B240" s="24" t="s">
        <v>171</v>
      </c>
      <c r="C240" s="544" t="s">
        <v>172</v>
      </c>
      <c r="D240" s="260">
        <f>+SUMPRODUCT(('Budget original'!$A$8:$A$500=$A240)*('Budget original'!$C$3:$AO$3=D$2),'Budget original'!$C$8:$AO$500)</f>
        <v>0</v>
      </c>
      <c r="E240" s="191">
        <f>+SUMPRODUCT(('Budget original'!$A$8:$A$500=$A240)*('Budget original'!$C$3:$AO$3=E$2),'Budget original'!$C$8:$AO$500)</f>
        <v>882027.95976418024</v>
      </c>
      <c r="F240" s="191">
        <f>+SUMPRODUCT(('Budget original'!$A$8:$A$500=$A240)*('Budget original'!$C$3:$AO$3=F$2),'Budget original'!$C$8:$AO$500)</f>
        <v>195105.42016500275</v>
      </c>
      <c r="G240" s="342">
        <f>+SUMPRODUCT(('Budget révisé'!$A$8:$A$500=$A240)*('Budget révisé'!$C$3:$AO$3=G$2),'Budget révisé'!$C$8:$AO$500)</f>
        <v>0</v>
      </c>
      <c r="H240" s="191">
        <f>+SUMPRODUCT(('Budget révisé'!$A$8:$A$500=$A240)*('Budget révisé'!$C$3:$AO$3=H$2),'Budget révisé'!$C$8:$AO$500)</f>
        <v>882027.95976418024</v>
      </c>
      <c r="I240" s="191">
        <f>+SUMPRODUCT(('Budget révisé'!$A$8:$A$500=$A240)*('Budget révisé'!$C$3:$AO$3=I$2),'Budget révisé'!$C$8:$AO$500)</f>
        <v>195105.42016500275</v>
      </c>
      <c r="J240" s="319">
        <f>-SUMIFS(BV_Data_An_Cour!$Q:$Q,BV_Data_An_Cour!$V:$V,$B240,BV_Data_An_Cour!$W:$W,$C240,BV_Data_An_Cour!$X:$X,J$2)</f>
        <v>0</v>
      </c>
      <c r="K240" s="173">
        <f>-SUMIFS(BV_Data_An_Cour!$Q:$Q,BV_Data_An_Cour!$Y:$Y,"Oui",BV_Data_An_Cour!$V:$V,$B240,BV_Data_An_Cour!$W:$W,$C240)</f>
        <v>0</v>
      </c>
      <c r="L240" s="174">
        <f>-SUMIFS(BV_Data_An_Cour!$Q:$Q,BV_Data_An_Cour!$V:$V,$B240,BV_Data_An_Cour!$W:$W,$C240,BV_Data_An_Cour!$X:$X,$L$2)</f>
        <v>0</v>
      </c>
      <c r="M240" s="318">
        <f>IFERROR((K240-H240)/H240,0)</f>
        <v>-1</v>
      </c>
      <c r="N240" s="298">
        <f>L240-I240</f>
        <v>-195105.42016500275</v>
      </c>
      <c r="O240" s="319">
        <f>-SUMIFS(BV_Data_An_Prec!$P:$P,BV_Data_An_Prec!$U:$U,$B240,BV_Data_An_Prec!$V:$V,$C240,BV_Data_An_Prec!$W:$W,O$2)</f>
        <v>603</v>
      </c>
      <c r="P240" s="173">
        <f>-SUMIFS(BV_Data_An_Prec!$P:$P,BV_Data_An_Prec!$X:$X,"Oui",BV_Data_An_Prec!$U:$U,$B240,BV_Data_An_Prec!$V:$V,$C240)</f>
        <v>827813.86</v>
      </c>
      <c r="Q240" s="174">
        <f>-SUMIFS(BV_Data_An_Prec!$P:$P,BV_Data_An_Prec!$U:$U,$B240,BV_Data_An_Prec!$V:$V,$C240,BV_Data_An_Prec!$W:$W,$L$2)</f>
        <v>181652.29999999996</v>
      </c>
      <c r="R240" s="318">
        <f>IF(O240=0,0,J240/O240)</f>
        <v>0</v>
      </c>
      <c r="S240" s="193">
        <f>L240-Q240</f>
        <v>-181652.29999999996</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0"/>
        <v>Carrosserie% profit / ventes</v>
      </c>
      <c r="B241" s="24" t="s">
        <v>171</v>
      </c>
      <c r="C241" s="258" t="s">
        <v>160</v>
      </c>
      <c r="D241" s="260"/>
      <c r="E241" s="343"/>
      <c r="F241" s="344">
        <f>IFERROR(F240/E240,0)</f>
        <v>0.2212009472093904</v>
      </c>
      <c r="G241" s="297"/>
      <c r="H241" s="343"/>
      <c r="I241" s="344">
        <f>IFERROR(I240/H240,0)</f>
        <v>0.2212009472093904</v>
      </c>
      <c r="J241" s="319"/>
      <c r="K241" s="172"/>
      <c r="L241" s="344">
        <f>IFERROR(L240/K240,0)</f>
        <v>0</v>
      </c>
      <c r="M241" s="318"/>
      <c r="N241" s="298">
        <f>IFERROR(N240/M240,0)</f>
        <v>195105.42016500275</v>
      </c>
      <c r="O241" s="319"/>
      <c r="P241" s="172"/>
      <c r="Q241" s="344">
        <f>IFERROR(Q240/P240,0)</f>
        <v>0.21943616648312697</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0"/>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0"/>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0"/>
        <v>Carrosserie% profit / ventes</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0"/>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0"/>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0"/>
        <v>Carrosserie% profit / ventes</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0"/>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0"/>
        <v>CarrosserieTotal Mécanique</v>
      </c>
      <c r="B249" s="24" t="s">
        <v>171</v>
      </c>
      <c r="C249" s="263" t="s">
        <v>169</v>
      </c>
      <c r="D249" s="26"/>
      <c r="E249" s="26">
        <f t="shared" ref="E249:F249" si="131">E243+E246+E240</f>
        <v>882027.95976418024</v>
      </c>
      <c r="F249" s="28">
        <f t="shared" si="131"/>
        <v>195105.42016500275</v>
      </c>
      <c r="G249" s="29"/>
      <c r="H249" s="26">
        <f t="shared" ref="H249:I249" si="132">H243+H246+H240</f>
        <v>882027.95976418024</v>
      </c>
      <c r="I249" s="28">
        <f t="shared" si="132"/>
        <v>195105.42016500275</v>
      </c>
      <c r="J249" s="29"/>
      <c r="K249" s="26">
        <f t="shared" ref="K249:L249" si="133">K243+K246+K240</f>
        <v>0</v>
      </c>
      <c r="L249" s="28">
        <f t="shared" si="133"/>
        <v>0</v>
      </c>
      <c r="M249" s="70">
        <f>L250-I250</f>
        <v>-0.2212009472093904</v>
      </c>
      <c r="N249" s="28">
        <f>L249-I249</f>
        <v>-195105.42016500275</v>
      </c>
      <c r="O249" s="29"/>
      <c r="P249" s="26">
        <f t="shared" ref="P249:Q249" si="134">P243+P246+P240</f>
        <v>827813.86</v>
      </c>
      <c r="Q249" s="28">
        <f t="shared" si="134"/>
        <v>181652.29999999996</v>
      </c>
      <c r="R249" s="70">
        <f>L250-Q250</f>
        <v>-0.21943616648312697</v>
      </c>
      <c r="S249" s="357">
        <f>L249-Q249</f>
        <v>-181652.29999999996</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0"/>
        <v>Carrosserie</v>
      </c>
      <c r="B250" s="24" t="s">
        <v>171</v>
      </c>
      <c r="C250" s="358"/>
      <c r="D250" s="359"/>
      <c r="E250" s="359"/>
      <c r="F250" s="34">
        <f>F249/E249</f>
        <v>0.2212009472093904</v>
      </c>
      <c r="G250" s="31"/>
      <c r="H250" s="359"/>
      <c r="I250" s="34">
        <f>I249/H249</f>
        <v>0.2212009472093904</v>
      </c>
      <c r="J250" s="31"/>
      <c r="K250" s="359"/>
      <c r="L250" s="34">
        <f>IF(K249=0,0,L249/K249)</f>
        <v>0</v>
      </c>
      <c r="M250" s="33"/>
      <c r="N250" s="34">
        <f>N249/I249</f>
        <v>-1</v>
      </c>
      <c r="O250" s="31"/>
      <c r="P250" s="359"/>
      <c r="Q250" s="34">
        <f>IF(P249=0,0,Q249/P249)</f>
        <v>0.21943616648312697</v>
      </c>
      <c r="R250" s="33"/>
      <c r="S250" s="266">
        <f>IF(Q249=0,0,(S249/Q249))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0"/>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0"/>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0"/>
        <v>CarrosserieSalaires cadres</v>
      </c>
      <c r="B253" s="24" t="s">
        <v>171</v>
      </c>
      <c r="C253" s="274" t="s">
        <v>112</v>
      </c>
      <c r="D253" s="227"/>
      <c r="E253" s="227"/>
      <c r="F253" s="225">
        <f>+SUMPRODUCT(('Budget original'!$A$8:$A$500=$A253)*('Budget original'!$C$3:$AO$3=F$2),'Budget original'!$C$8:$AO$500)</f>
        <v>3198.8068965517236</v>
      </c>
      <c r="G253" s="221"/>
      <c r="H253" s="227"/>
      <c r="I253" s="225">
        <f>+SUMPRODUCT(('Budget révisé'!$A$8:$A$500=$A253)*('Budget révisé'!$C$3:$AO$3=I$2),'Budget révisé'!$C$8:$AO$500)</f>
        <v>3198.8068965517236</v>
      </c>
      <c r="J253" s="221"/>
      <c r="K253" s="227"/>
      <c r="L253" s="275">
        <f>SUMIFS(BV_Data_An_Cour!$Q:$Q,BV_Data_An_Cour!$V:$V,$B253,BV_Data_An_Cour!$W:$W,$C253,BV_Data_An_Cour!$X:$X,$L$2)</f>
        <v>0</v>
      </c>
      <c r="M253" s="221"/>
      <c r="N253" s="226">
        <f t="shared" ref="N253:N283" si="135">L253-I253</f>
        <v>-3198.8068965517236</v>
      </c>
      <c r="O253" s="221"/>
      <c r="P253" s="227"/>
      <c r="Q253" s="275">
        <f>SUMIFS(BV_Data_An_Prec!$P:$P,BV_Data_An_Prec!$U:$U,$B253,BV_Data_An_Prec!$V:$V,$C253,BV_Data_An_Prec!$W:$W,$L$2)</f>
        <v>8491.2000000000007</v>
      </c>
      <c r="R253" s="221"/>
      <c r="S253" s="506">
        <f>L253-Q253</f>
        <v>-8491.2000000000007</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0"/>
        <v>CarrosserieSalaires commis</v>
      </c>
      <c r="B254" s="24" t="s">
        <v>171</v>
      </c>
      <c r="C254" s="276" t="s">
        <v>113</v>
      </c>
      <c r="D254" s="256"/>
      <c r="E254" s="227"/>
      <c r="F254" s="238">
        <f>+SUMPRODUCT(('Budget original'!$A$8:$A$500=$A254)*('Budget original'!$C$3:$AO$3=F$2),'Budget original'!$C$8:$AO$500)</f>
        <v>5359.8106056551733</v>
      </c>
      <c r="G254" s="277"/>
      <c r="H254" s="227"/>
      <c r="I254" s="238">
        <f>+SUMPRODUCT(('Budget révisé'!$A$8:$A$500=$A254)*('Budget révisé'!$C$3:$AO$3=I$2),'Budget révisé'!$C$8:$AO$500)</f>
        <v>5359.8106056551733</v>
      </c>
      <c r="J254" s="221"/>
      <c r="K254" s="227"/>
      <c r="L254" s="275">
        <f>SUMIFS(BV_Data_An_Cour!$Q:$Q,BV_Data_An_Cour!$V:$V,$B254,BV_Data_An_Cour!$W:$W,$C254,BV_Data_An_Cour!$X:$X,$L$2)</f>
        <v>0</v>
      </c>
      <c r="M254" s="221"/>
      <c r="N254" s="226">
        <f t="shared" si="135"/>
        <v>-5359.8106056551733</v>
      </c>
      <c r="O254" s="221"/>
      <c r="P254" s="227"/>
      <c r="Q254" s="275">
        <f>SUMIFS(BV_Data_An_Prec!$P:$P,BV_Data_An_Prec!$U:$U,$B254,BV_Data_An_Prec!$V:$V,$C254,BV_Data_An_Prec!$W:$W,$L$2)</f>
        <v>5753.3</v>
      </c>
      <c r="R254" s="221"/>
      <c r="S254" s="278">
        <f>L254-Q254</f>
        <v>-5753.3</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0"/>
        <v>CarrosserieSalaires autres</v>
      </c>
      <c r="B255" s="24" t="s">
        <v>171</v>
      </c>
      <c r="C255" s="274" t="s">
        <v>114</v>
      </c>
      <c r="D255" s="279"/>
      <c r="E255" s="280"/>
      <c r="F255" s="225">
        <f>+SUMPRODUCT(('Budget original'!$A$8:$A$500=$A255)*('Budget original'!$C$3:$AO$3=F$2),'Budget original'!$C$8:$AO$500)</f>
        <v>4613.7458019310334</v>
      </c>
      <c r="G255" s="281"/>
      <c r="H255" s="280"/>
      <c r="I255" s="225">
        <f>+SUMPRODUCT(('Budget révisé'!$A$8:$A$500=$A255)*('Budget révisé'!$C$3:$AO$3=I$2),'Budget révisé'!$C$8:$AO$500)</f>
        <v>4613.7458019310334</v>
      </c>
      <c r="J255" s="282"/>
      <c r="K255" s="280"/>
      <c r="L255" s="239">
        <f>SUMIFS(BV_Data_An_Cour!$Q:$Q,BV_Data_An_Cour!$V:$V,$B255,BV_Data_An_Cour!$W:$W,$C255,BV_Data_An_Cour!$X:$X,$L$2)</f>
        <v>0</v>
      </c>
      <c r="M255" s="282"/>
      <c r="N255" s="283">
        <f t="shared" si="135"/>
        <v>-4613.7458019310334</v>
      </c>
      <c r="O255" s="282"/>
      <c r="P255" s="280"/>
      <c r="Q255" s="239">
        <f>SUMIFS(BV_Data_An_Prec!$P:$P,BV_Data_An_Prec!$U:$U,$B255,BV_Data_An_Prec!$V:$V,$C255,BV_Data_An_Prec!$W:$W,$L$2)</f>
        <v>35781.83</v>
      </c>
      <c r="R255" s="282"/>
      <c r="S255" s="284">
        <f t="shared" ref="S255:S284" si="136">L255-Q255</f>
        <v>-35781.83</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0"/>
        <v>CarrosserieSalaires spécialistes</v>
      </c>
      <c r="B256" s="24" t="s">
        <v>171</v>
      </c>
      <c r="C256" s="274" t="s">
        <v>115</v>
      </c>
      <c r="D256" s="256"/>
      <c r="E256" s="227"/>
      <c r="F256" s="225">
        <f>+SUMPRODUCT(('Budget original'!$A$8:$A$500=$A256)*('Budget original'!$C$3:$AO$3=F$2),'Budget original'!$C$8:$AO$500)</f>
        <v>42241.379310344826</v>
      </c>
      <c r="G256" s="277"/>
      <c r="H256" s="227"/>
      <c r="I256" s="225">
        <f>+SUMPRODUCT(('Budget révisé'!$A$8:$A$500=$A256)*('Budget révisé'!$C$3:$AO$3=I$2),'Budget révisé'!$C$8:$AO$500)</f>
        <v>42241.379310344826</v>
      </c>
      <c r="J256" s="221"/>
      <c r="K256" s="227"/>
      <c r="L256" s="275">
        <f>SUMIFS(BV_Data_An_Cour!$Q:$Q,BV_Data_An_Cour!$V:$V,$B256,BV_Data_An_Cour!$W:$W,$C256,BV_Data_An_Cour!$X:$X,$L$2)</f>
        <v>0</v>
      </c>
      <c r="M256" s="221"/>
      <c r="N256" s="226">
        <f t="shared" si="135"/>
        <v>-42241.379310344826</v>
      </c>
      <c r="O256" s="221"/>
      <c r="P256" s="227"/>
      <c r="Q256" s="275">
        <f>SUMIFS(BV_Data_An_Prec!$P:$P,BV_Data_An_Prec!$U:$U,$B256,BV_Data_An_Prec!$V:$V,$C256,BV_Data_An_Prec!$W:$W,$L$2)</f>
        <v>23919.52</v>
      </c>
      <c r="R256" s="221"/>
      <c r="S256" s="278">
        <f t="shared" si="136"/>
        <v>-23919.52</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0"/>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5"/>
        <v>0</v>
      </c>
      <c r="O257" s="221"/>
      <c r="P257" s="227"/>
      <c r="Q257" s="275">
        <f>SUMIFS(BV_Data_An_Prec!$P:$P,BV_Data_An_Prec!$U:$U,$B257,BV_Data_An_Prec!$V:$V,$C257,BV_Data_An_Prec!$W:$W,$L$2)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0"/>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5"/>
        <v>0</v>
      </c>
      <c r="O258" s="221"/>
      <c r="P258" s="227"/>
      <c r="Q258" s="275">
        <f>SUMIFS(BV_Data_An_Prec!$P:$P,BV_Data_An_Prec!$U:$U,$B258,BV_Data_An_Prec!$V:$V,$C258,BV_Data_An_Prec!$W:$W,$L$2)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0"/>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5"/>
        <v>0</v>
      </c>
      <c r="O259" s="221"/>
      <c r="P259" s="227"/>
      <c r="Q259" s="275">
        <f>SUMIFS(BV_Data_An_Prec!$P:$P,BV_Data_An_Prec!$U:$U,$B259,BV_Data_An_Prec!$V:$V,$C259,BV_Data_An_Prec!$W:$W,$L$2)</f>
        <v>0</v>
      </c>
      <c r="R259" s="221"/>
      <c r="S259" s="278">
        <f t="shared" si="136"/>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0"/>
        <v>CarrosserieSalaires en absences</v>
      </c>
      <c r="B260" s="24" t="s">
        <v>171</v>
      </c>
      <c r="C260" s="276" t="s">
        <v>116</v>
      </c>
      <c r="D260" s="256"/>
      <c r="E260" s="227"/>
      <c r="F260" s="238">
        <f>+SUMPRODUCT(('Budget original'!$A$8:$A$500=$A260)*('Budget original'!$C$3:$AO$3=F$2),'Budget original'!$C$8:$AO$500)</f>
        <v>6747.1451752106004</v>
      </c>
      <c r="G260" s="277"/>
      <c r="H260" s="227"/>
      <c r="I260" s="238">
        <f>+SUMPRODUCT(('Budget révisé'!$A$8:$A$500=$A260)*('Budget révisé'!$C$3:$AO$3=I$2),'Budget révisé'!$C$8:$AO$500)</f>
        <v>6747.1451752106004</v>
      </c>
      <c r="J260" s="221"/>
      <c r="K260" s="227"/>
      <c r="L260" s="275">
        <f>SUMIFS(BV_Data_An_Cour!$Q:$Q,BV_Data_An_Cour!$V:$V,$B260,BV_Data_An_Cour!$W:$W,$C260,BV_Data_An_Cour!$X:$X,$L$2)</f>
        <v>0</v>
      </c>
      <c r="M260" s="221"/>
      <c r="N260" s="226">
        <f t="shared" si="135"/>
        <v>-6747.1451752106004</v>
      </c>
      <c r="O260" s="221"/>
      <c r="P260" s="227"/>
      <c r="Q260" s="275">
        <f>SUMIFS(BV_Data_An_Prec!$P:$P,BV_Data_An_Prec!$U:$U,$B260,BV_Data_An_Prec!$V:$V,$C260,BV_Data_An_Prec!$W:$W,$L$2)</f>
        <v>4522.05</v>
      </c>
      <c r="R260" s="221"/>
      <c r="S260" s="278">
        <f t="shared" si="136"/>
        <v>-4522.05</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0"/>
        <v>CarrosserieDéduction à la source</v>
      </c>
      <c r="B261" s="24" t="s">
        <v>171</v>
      </c>
      <c r="C261" s="274" t="s">
        <v>117</v>
      </c>
      <c r="D261" s="279"/>
      <c r="E261" s="280"/>
      <c r="F261" s="225">
        <f>+SUMPRODUCT(('Budget original'!$A$8:$A$500=$A261)*('Budget original'!$C$3:$AO$3=F$2),'Budget original'!$C$8:$AO$500)</f>
        <v>6042.7601254372421</v>
      </c>
      <c r="G261" s="281"/>
      <c r="H261" s="280"/>
      <c r="I261" s="225">
        <f>+SUMPRODUCT(('Budget révisé'!$A$8:$A$500=$A261)*('Budget révisé'!$C$3:$AO$3=I$2),'Budget révisé'!$C$8:$AO$500)</f>
        <v>6042.7601254372421</v>
      </c>
      <c r="J261" s="282"/>
      <c r="K261" s="280"/>
      <c r="L261" s="239">
        <f>SUMIFS(BV_Data_An_Cour!$Q:$Q,BV_Data_An_Cour!$V:$V,$B261,BV_Data_An_Cour!$W:$W,$C261,BV_Data_An_Cour!$X:$X,$L$2)</f>
        <v>0</v>
      </c>
      <c r="M261" s="282"/>
      <c r="N261" s="283">
        <f t="shared" si="135"/>
        <v>-6042.7601254372421</v>
      </c>
      <c r="O261" s="282"/>
      <c r="P261" s="280"/>
      <c r="Q261" s="239">
        <f>SUMIFS(BV_Data_An_Prec!$P:$P,BV_Data_An_Prec!$U:$U,$B261,BV_Data_An_Prec!$V:$V,$C261,BV_Data_An_Prec!$W:$W,$L$2)</f>
        <v>8234.08</v>
      </c>
      <c r="R261" s="282"/>
      <c r="S261" s="284">
        <f t="shared" si="136"/>
        <v>-8234.08</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0"/>
        <v>CarrosserieBénéfices marginaux</v>
      </c>
      <c r="B262" s="24" t="s">
        <v>171</v>
      </c>
      <c r="C262" s="274" t="s">
        <v>118</v>
      </c>
      <c r="D262" s="256"/>
      <c r="E262" s="227"/>
      <c r="F262" s="225">
        <f>+SUMPRODUCT(('Budget original'!$A$8:$A$500=$A262)*('Budget original'!$C$3:$AO$3=F$2),'Budget original'!$C$8:$AO$500)</f>
        <v>4798.6624525531033</v>
      </c>
      <c r="G262" s="277"/>
      <c r="H262" s="227"/>
      <c r="I262" s="225">
        <f>+SUMPRODUCT(('Budget révisé'!$A$8:$A$500=$A262)*('Budget révisé'!$C$3:$AO$3=I$2),'Budget révisé'!$C$8:$AO$500)</f>
        <v>4798.6624525531033</v>
      </c>
      <c r="J262" s="221"/>
      <c r="K262" s="227"/>
      <c r="L262" s="275">
        <f>SUMIFS(BV_Data_An_Cour!$Q:$Q,BV_Data_An_Cour!$V:$V,$B262,BV_Data_An_Cour!$W:$W,$C262,BV_Data_An_Cour!$X:$X,$L$2)</f>
        <v>0</v>
      </c>
      <c r="M262" s="221"/>
      <c r="N262" s="226">
        <f t="shared" si="135"/>
        <v>-4798.6624525531033</v>
      </c>
      <c r="O262" s="221"/>
      <c r="P262" s="227"/>
      <c r="Q262" s="275">
        <f>SUMIFS(BV_Data_An_Prec!$P:$P,BV_Data_An_Prec!$U:$U,$B262,BV_Data_An_Prec!$V:$V,$C262,BV_Data_An_Prec!$W:$W,$L$2)</f>
        <v>5901.09</v>
      </c>
      <c r="R262" s="221"/>
      <c r="S262" s="278">
        <f t="shared" si="136"/>
        <v>-5901.09</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0"/>
        <v>CarrosserieCsst</v>
      </c>
      <c r="B263" s="24" t="s">
        <v>171</v>
      </c>
      <c r="C263" s="274" t="s">
        <v>119</v>
      </c>
      <c r="D263" s="256"/>
      <c r="E263" s="227"/>
      <c r="F263" s="225">
        <f>+SUMPRODUCT(('Budget original'!$A$8:$A$500=$A263)*('Budget original'!$C$3:$AO$3=F$2),'Budget original'!$C$8:$AO$500)</f>
        <v>1955.0106288179311</v>
      </c>
      <c r="G263" s="277"/>
      <c r="H263" s="227"/>
      <c r="I263" s="225">
        <f>+SUMPRODUCT(('Budget révisé'!$A$8:$A$500=$A263)*('Budget révisé'!$C$3:$AO$3=I$2),'Budget révisé'!$C$8:$AO$500)</f>
        <v>1955.0106288179311</v>
      </c>
      <c r="J263" s="221"/>
      <c r="K263" s="227"/>
      <c r="L263" s="275">
        <f>SUMIFS(BV_Data_An_Cour!$Q:$Q,BV_Data_An_Cour!$V:$V,$B263,BV_Data_An_Cour!$W:$W,$C263,BV_Data_An_Cour!$X:$X,$L$2)</f>
        <v>0</v>
      </c>
      <c r="M263" s="221"/>
      <c r="N263" s="226">
        <f t="shared" si="135"/>
        <v>-1955.0106288179311</v>
      </c>
      <c r="O263" s="221"/>
      <c r="P263" s="227"/>
      <c r="Q263" s="275">
        <f>SUMIFS(BV_Data_An_Prec!$P:$P,BV_Data_An_Prec!$U:$U,$B263,BV_Data_An_Prec!$V:$V,$C263,BV_Data_An_Prec!$W:$W,$L$2)</f>
        <v>1372.36</v>
      </c>
      <c r="R263" s="221"/>
      <c r="S263" s="278">
        <f t="shared" si="136"/>
        <v>-1372.36</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0"/>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5"/>
        <v>0</v>
      </c>
      <c r="O264" s="289"/>
      <c r="P264" s="287"/>
      <c r="Q264" s="275">
        <f>SUMIFS(BV_Data_An_Prec!$P:$P,BV_Data_An_Prec!$U:$U,$B264,BV_Data_An_Prec!$V:$V,$C264,BV_Data_An_Prec!$W:$W,$L$2)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0"/>
        <v>CarrosserieTOTAL PERSONNEL</v>
      </c>
      <c r="B265" s="24" t="s">
        <v>171</v>
      </c>
      <c r="C265" s="292" t="s">
        <v>120</v>
      </c>
      <c r="D265" s="39" t="s">
        <v>111</v>
      </c>
      <c r="E265" s="40" t="e">
        <f>F265/F$243</f>
        <v>#DIV/0!</v>
      </c>
      <c r="F265" s="41">
        <f>+SUM(F253:F264)</f>
        <v>74957.320996501643</v>
      </c>
      <c r="G265" s="42" t="s">
        <v>111</v>
      </c>
      <c r="H265" s="40" t="e">
        <f>I265/I$243</f>
        <v>#DIV/0!</v>
      </c>
      <c r="I265" s="41">
        <f>+SUM(I253:I264)</f>
        <v>74957.320996501643</v>
      </c>
      <c r="J265" s="42" t="s">
        <v>111</v>
      </c>
      <c r="K265" s="40">
        <f>IF(L243=0,0,L265/L$243)</f>
        <v>0</v>
      </c>
      <c r="L265" s="41">
        <f>+SUM(L253:L264)</f>
        <v>0</v>
      </c>
      <c r="M265" s="43"/>
      <c r="N265" s="46">
        <f t="shared" si="135"/>
        <v>-74957.320996501643</v>
      </c>
      <c r="O265" s="42" t="s">
        <v>111</v>
      </c>
      <c r="P265" s="40">
        <f>IF(Q243=0,0,Q265/Q$243)</f>
        <v>0</v>
      </c>
      <c r="Q265" s="41">
        <f>+SUM(Q253:Q264)</f>
        <v>93975.430000000008</v>
      </c>
      <c r="R265" s="43"/>
      <c r="S265" s="293">
        <f t="shared" si="136"/>
        <v>-93975.430000000008</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0"/>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0</v>
      </c>
      <c r="M266" s="297"/>
      <c r="N266" s="298">
        <f t="shared" si="135"/>
        <v>0</v>
      </c>
      <c r="O266" s="297"/>
      <c r="P266" s="172"/>
      <c r="Q266" s="275">
        <f>SUMIFS(BV_Data_An_Prec!$P:$P,BV_Data_An_Prec!$U:$U,$B266,BV_Data_An_Prec!$V:$V,$C266,BV_Data_An_Prec!$W:$W,$L$2)</f>
        <v>163.4</v>
      </c>
      <c r="R266" s="297"/>
      <c r="S266" s="193">
        <f t="shared" si="136"/>
        <v>-163.4</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0"/>
        <v>CarrosserieService gratuit 2</v>
      </c>
      <c r="B267" s="24" t="s">
        <v>171</v>
      </c>
      <c r="C267" s="299" t="s">
        <v>122</v>
      </c>
      <c r="D267" s="295"/>
      <c r="E267" s="172"/>
      <c r="F267" s="173">
        <f>+SUMPRODUCT(('Budget original'!$A$8:$A$500=$A267)*('Budget original'!$C$3:$AO$3=F$2),'Budget original'!$C$8:$AO$500)</f>
        <v>3061.9360492639616</v>
      </c>
      <c r="G267" s="296"/>
      <c r="H267" s="172"/>
      <c r="I267" s="173">
        <f>+SUMPRODUCT(('Budget révisé'!$A$8:$A$500=$A267)*('Budget révisé'!$C$3:$AO$3=I$2),'Budget révisé'!$C$8:$AO$500)</f>
        <v>3061.9360492639616</v>
      </c>
      <c r="J267" s="297"/>
      <c r="K267" s="172"/>
      <c r="L267" s="174">
        <f>SUMIFS(BV_Data_An_Cour!$Q:$Q,BV_Data_An_Cour!$V:$V,$B267,BV_Data_An_Cour!$W:$W,$C267,BV_Data_An_Cour!$X:$X,$L$2)</f>
        <v>0</v>
      </c>
      <c r="M267" s="297"/>
      <c r="N267" s="298">
        <f t="shared" si="135"/>
        <v>-3061.9360492639616</v>
      </c>
      <c r="O267" s="297"/>
      <c r="P267" s="172"/>
      <c r="Q267" s="174">
        <f>SUMIFS(BV_Data_An_Prec!$P:$P,BV_Data_An_Prec!$U:$U,$B267,BV_Data_An_Prec!$V:$V,$C267,BV_Data_An_Prec!$W:$W,$L$2)</f>
        <v>2599.81</v>
      </c>
      <c r="R267" s="297"/>
      <c r="S267" s="193">
        <f t="shared" si="136"/>
        <v>-2599.81</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0"/>
        <v>CarrosserieFrais véhicules de cie</v>
      </c>
      <c r="B268" s="24" t="s">
        <v>171</v>
      </c>
      <c r="C268" s="300" t="s">
        <v>123</v>
      </c>
      <c r="D268" s="301"/>
      <c r="E268" s="302"/>
      <c r="F268" s="171">
        <f>+SUMPRODUCT(('Budget original'!$A$8:$A$500=$A268)*('Budget original'!$C$3:$AO$3=F$2),'Budget original'!$C$8:$AO$500)</f>
        <v>3799.4</v>
      </c>
      <c r="G268" s="303"/>
      <c r="H268" s="302"/>
      <c r="I268" s="171">
        <f>+SUMPRODUCT(('Budget révisé'!$A$8:$A$500=$A268)*('Budget révisé'!$C$3:$AO$3=I$2),'Budget révisé'!$C$8:$AO$500)</f>
        <v>3799.4</v>
      </c>
      <c r="J268" s="304"/>
      <c r="K268" s="302"/>
      <c r="L268" s="174">
        <f>SUMIFS(BV_Data_An_Cour!$Q:$Q,BV_Data_An_Cour!$V:$V,$B268,BV_Data_An_Cour!$W:$W,$C268,BV_Data_An_Cour!$X:$X,$L$2)</f>
        <v>0</v>
      </c>
      <c r="M268" s="304"/>
      <c r="N268" s="305">
        <f t="shared" si="135"/>
        <v>-3799.4</v>
      </c>
      <c r="O268" s="304"/>
      <c r="P268" s="302"/>
      <c r="Q268" s="174">
        <f>SUMIFS(BV_Data_An_Prec!$P:$P,BV_Data_An_Prec!$U:$U,$B268,BV_Data_An_Prec!$V:$V,$C268,BV_Data_An_Prec!$W:$W,$L$2)</f>
        <v>5279.25</v>
      </c>
      <c r="R268" s="304"/>
      <c r="S268" s="196">
        <f t="shared" si="136"/>
        <v>-5279.25</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0"/>
        <v>CarrosserieInformatique</v>
      </c>
      <c r="B269" s="24" t="s">
        <v>171</v>
      </c>
      <c r="C269" s="299" t="s">
        <v>124</v>
      </c>
      <c r="D269" s="295"/>
      <c r="E269" s="172"/>
      <c r="F269" s="173">
        <f>+SUMPRODUCT(('Budget original'!$A$8:$A$500=$A269)*('Budget original'!$C$3:$AO$3=F$2),'Budget original'!$C$8:$AO$500)</f>
        <v>13134.198641666664</v>
      </c>
      <c r="G269" s="296"/>
      <c r="H269" s="172"/>
      <c r="I269" s="173">
        <f>+SUMPRODUCT(('Budget révisé'!$A$8:$A$500=$A269)*('Budget révisé'!$C$3:$AO$3=I$2),'Budget révisé'!$C$8:$AO$500)</f>
        <v>13134.198641666664</v>
      </c>
      <c r="J269" s="297"/>
      <c r="K269" s="172"/>
      <c r="L269" s="175">
        <f>SUMIFS(BV_Data_An_Cour!$Q:$Q,BV_Data_An_Cour!$V:$V,$B269,BV_Data_An_Cour!$W:$W,$C269,BV_Data_An_Cour!$X:$X,$L$2)</f>
        <v>0</v>
      </c>
      <c r="M269" s="297"/>
      <c r="N269" s="298">
        <f t="shared" si="135"/>
        <v>-13134.198641666664</v>
      </c>
      <c r="O269" s="297"/>
      <c r="P269" s="172"/>
      <c r="Q269" s="175">
        <f>SUMIFS(BV_Data_An_Prec!$P:$P,BV_Data_An_Prec!$U:$U,$B269,BV_Data_An_Prec!$V:$V,$C269,BV_Data_An_Prec!$W:$W,$L$2)</f>
        <v>13574.01</v>
      </c>
      <c r="R269" s="297"/>
      <c r="S269" s="193">
        <f t="shared" si="136"/>
        <v>-13574.01</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0"/>
        <v>CarrosserieFrais de déplacement</v>
      </c>
      <c r="B270" s="24" t="s">
        <v>171</v>
      </c>
      <c r="C270" s="299" t="s">
        <v>125</v>
      </c>
      <c r="D270" s="295"/>
      <c r="E270" s="172"/>
      <c r="F270" s="173">
        <f>+SUMPRODUCT(('Budget original'!$A$8:$A$500=$A270)*('Budget original'!$C$3:$AO$3=F$2),'Budget original'!$C$8:$AO$500)</f>
        <v>1732.8101875000002</v>
      </c>
      <c r="G270" s="296"/>
      <c r="H270" s="172"/>
      <c r="I270" s="173">
        <f>+SUMPRODUCT(('Budget révisé'!$A$8:$A$500=$A270)*('Budget révisé'!$C$3:$AO$3=I$2),'Budget révisé'!$C$8:$AO$500)</f>
        <v>1732.8101875000002</v>
      </c>
      <c r="J270" s="297"/>
      <c r="K270" s="172"/>
      <c r="L270" s="174">
        <f>SUMIFS(BV_Data_An_Cour!$Q:$Q,BV_Data_An_Cour!$V:$V,$B270,BV_Data_An_Cour!$W:$W,$C270,BV_Data_An_Cour!$X:$X,$L$2)</f>
        <v>0</v>
      </c>
      <c r="M270" s="297"/>
      <c r="N270" s="298">
        <f t="shared" si="135"/>
        <v>-1732.8101875000002</v>
      </c>
      <c r="O270" s="297"/>
      <c r="P270" s="172"/>
      <c r="Q270" s="174">
        <f>SUMIFS(BV_Data_An_Prec!$P:$P,BV_Data_An_Prec!$U:$U,$B270,BV_Data_An_Prec!$V:$V,$C270,BV_Data_An_Prec!$W:$W,$L$2)</f>
        <v>1040.53</v>
      </c>
      <c r="R270" s="297"/>
      <c r="S270" s="193">
        <f t="shared" si="136"/>
        <v>-1040.53</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0"/>
        <v>CarrosserieServices extérieurs</v>
      </c>
      <c r="B271" s="24" t="s">
        <v>171</v>
      </c>
      <c r="C271" s="299" t="s">
        <v>126</v>
      </c>
      <c r="D271" s="301"/>
      <c r="E271" s="302"/>
      <c r="F271" s="171">
        <f>+SUMPRODUCT(('Budget original'!$A$8:$A$500=$A271)*('Budget original'!$C$3:$AO$3=F$2),'Budget original'!$C$8:$AO$500)</f>
        <v>8610.8837888888884</v>
      </c>
      <c r="G271" s="303"/>
      <c r="H271" s="302"/>
      <c r="I271" s="171">
        <f>+SUMPRODUCT(('Budget révisé'!$A$8:$A$500=$A271)*('Budget révisé'!$C$3:$AO$3=I$2),'Budget révisé'!$C$8:$AO$500)</f>
        <v>8610.8837888888884</v>
      </c>
      <c r="J271" s="304"/>
      <c r="K271" s="302"/>
      <c r="L271" s="174">
        <f>SUMIFS(BV_Data_An_Cour!$Q:$Q,BV_Data_An_Cour!$V:$V,$B271,BV_Data_An_Cour!$W:$W,$C271,BV_Data_An_Cour!$X:$X,$L$2)</f>
        <v>0</v>
      </c>
      <c r="M271" s="304"/>
      <c r="N271" s="305">
        <f t="shared" si="135"/>
        <v>-8610.8837888888884</v>
      </c>
      <c r="O271" s="304"/>
      <c r="P271" s="302"/>
      <c r="Q271" s="171">
        <f>SUMIFS(BV_Data_An_Prec!$P:$P,BV_Data_An_Prec!$U:$U,$B271,BV_Data_An_Prec!$V:$V,$C271,BV_Data_An_Prec!$W:$W,$L$2)</f>
        <v>5355.7</v>
      </c>
      <c r="R271" s="304"/>
      <c r="S271" s="196">
        <f t="shared" si="136"/>
        <v>-5355.7</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7">+B272&amp;C272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8">L272-I272</f>
        <v>0</v>
      </c>
      <c r="O272" s="297"/>
      <c r="P272" s="172"/>
      <c r="Q272" s="174">
        <f>SUMIFS(BV_Data_An_Prec!$P:$P,BV_Data_An_Prec!$U:$U,$B272,BV_Data_An_Prec!$V:$V,$C272,BV_Data_An_Prec!$W:$W,$L$2)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0"/>
        <v>CarrosserieFournitures autres</v>
      </c>
      <c r="B273" s="24" t="s">
        <v>171</v>
      </c>
      <c r="C273" s="299" t="s">
        <v>127</v>
      </c>
      <c r="D273" s="295"/>
      <c r="E273" s="172"/>
      <c r="F273" s="173">
        <f>+SUMPRODUCT(('Budget original'!$A$8:$A$500=$A273)*('Budget original'!$C$3:$AO$3=F$2),'Budget original'!$C$8:$AO$500)</f>
        <v>855.71216443970923</v>
      </c>
      <c r="G273" s="296"/>
      <c r="H273" s="172"/>
      <c r="I273" s="173">
        <f>+SUMPRODUCT(('Budget révisé'!$A$8:$A$500=$A273)*('Budget révisé'!$C$3:$AO$3=I$2),'Budget révisé'!$C$8:$AO$500)</f>
        <v>855.71216443970923</v>
      </c>
      <c r="J273" s="297"/>
      <c r="K273" s="172"/>
      <c r="L273" s="275">
        <f>SUMIFS(BV_Data_An_Cour!$Q:$Q,BV_Data_An_Cour!$V:$V,$B273,BV_Data_An_Cour!$W:$W,$C273,BV_Data_An_Cour!$X:$X,$L$2)</f>
        <v>0</v>
      </c>
      <c r="M273" s="297"/>
      <c r="N273" s="298">
        <f t="shared" si="135"/>
        <v>-855.71216443970923</v>
      </c>
      <c r="O273" s="297"/>
      <c r="P273" s="172"/>
      <c r="Q273" s="174">
        <f>SUMIFS(BV_Data_An_Prec!$P:$P,BV_Data_An_Prec!$U:$U,$B273,BV_Data_An_Prec!$V:$V,$C273,BV_Data_An_Prec!$W:$W,$L$2)</f>
        <v>191.35</v>
      </c>
      <c r="R273" s="297"/>
      <c r="S273" s="193">
        <f t="shared" si="136"/>
        <v>-191.35</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0"/>
        <v>CarrosserieUniformes</v>
      </c>
      <c r="B274" s="24" t="s">
        <v>171</v>
      </c>
      <c r="C274" s="299" t="s">
        <v>128</v>
      </c>
      <c r="D274" s="295"/>
      <c r="E274" s="172"/>
      <c r="F274" s="173">
        <f>+SUMPRODUCT(('Budget original'!$A$8:$A$500=$A274)*('Budget original'!$C$3:$AO$3=F$2),'Budget original'!$C$8:$AO$500)</f>
        <v>454.7029494085304</v>
      </c>
      <c r="G274" s="296"/>
      <c r="H274" s="172"/>
      <c r="I274" s="173">
        <f>+SUMPRODUCT(('Budget révisé'!$A$8:$A$500=$A274)*('Budget révisé'!$C$3:$AO$3=I$2),'Budget révisé'!$C$8:$AO$500)</f>
        <v>454.7029494085304</v>
      </c>
      <c r="J274" s="297"/>
      <c r="K274" s="172"/>
      <c r="L274" s="275">
        <f>SUMIFS(BV_Data_An_Cour!$Q:$Q,BV_Data_An_Cour!$V:$V,$B274,BV_Data_An_Cour!$W:$W,$C274,BV_Data_An_Cour!$X:$X,$L$2)</f>
        <v>0</v>
      </c>
      <c r="M274" s="297"/>
      <c r="N274" s="298">
        <f t="shared" si="135"/>
        <v>-454.7029494085304</v>
      </c>
      <c r="O274" s="297"/>
      <c r="P274" s="172"/>
      <c r="Q274" s="174">
        <f>SUMIFS(BV_Data_An_Prec!$P:$P,BV_Data_An_Prec!$U:$U,$B274,BV_Data_An_Prec!$V:$V,$C274,BV_Data_An_Prec!$W:$W,$L$2)</f>
        <v>0</v>
      </c>
      <c r="R274" s="297"/>
      <c r="S274" s="193">
        <f t="shared" si="136"/>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0"/>
        <v>CarrosseriePapeterie</v>
      </c>
      <c r="B275" s="24" t="s">
        <v>171</v>
      </c>
      <c r="C275" s="299" t="s">
        <v>129</v>
      </c>
      <c r="D275" s="295"/>
      <c r="E275" s="172"/>
      <c r="F275" s="173">
        <f>+SUMPRODUCT(('Budget original'!$A$8:$A$500=$A275)*('Budget original'!$C$3:$AO$3=F$2),'Budget original'!$C$8:$AO$500)</f>
        <v>1428.1406999999999</v>
      </c>
      <c r="G275" s="296"/>
      <c r="H275" s="172"/>
      <c r="I275" s="173">
        <f>+SUMPRODUCT(('Budget révisé'!$A$8:$A$500=$A275)*('Budget révisé'!$C$3:$AO$3=I$2),'Budget révisé'!$C$8:$AO$500)</f>
        <v>1428.1406999999999</v>
      </c>
      <c r="J275" s="297"/>
      <c r="K275" s="172"/>
      <c r="L275" s="961">
        <f>SUMIFS(BV_Data_An_Cour!$Q:$Q,BV_Data_An_Cour!$V:$V,$B275,BV_Data_An_Cour!$W:$W,$C275,BV_Data_An_Cour!$X:$X,$L$2)</f>
        <v>0</v>
      </c>
      <c r="M275" s="297"/>
      <c r="N275" s="298">
        <f t="shared" si="135"/>
        <v>-1428.1406999999999</v>
      </c>
      <c r="O275" s="297"/>
      <c r="P275" s="172"/>
      <c r="Q275" s="548">
        <f>SUMIFS(BV_Data_An_Prec!$P:$P,BV_Data_An_Prec!$U:$U,$B275,BV_Data_An_Prec!$V:$V,$C275,BV_Data_An_Prec!$W:$W,$L$2)</f>
        <v>1140.45</v>
      </c>
      <c r="R275" s="297"/>
      <c r="S275" s="193">
        <f t="shared" si="136"/>
        <v>-1140.45</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0"/>
        <v>CarrosserieTéléphone</v>
      </c>
      <c r="B276" s="24" t="s">
        <v>171</v>
      </c>
      <c r="C276" s="299" t="s">
        <v>130</v>
      </c>
      <c r="D276" s="295"/>
      <c r="E276" s="172"/>
      <c r="F276" s="173">
        <f>+SUMPRODUCT(('Budget original'!$A$8:$A$500=$A276)*('Budget original'!$C$3:$AO$3=F$2),'Budget original'!$C$8:$AO$500)</f>
        <v>659.4536520833334</v>
      </c>
      <c r="G276" s="296"/>
      <c r="H276" s="172"/>
      <c r="I276" s="173">
        <f>+SUMPRODUCT(('Budget révisé'!$A$8:$A$500=$A276)*('Budget révisé'!$C$3:$AO$3=I$2),'Budget révisé'!$C$8:$AO$500)</f>
        <v>659.4536520833334</v>
      </c>
      <c r="J276" s="297"/>
      <c r="K276" s="172"/>
      <c r="L276" s="275">
        <f>SUMIFS(BV_Data_An_Cour!$Q:$Q,BV_Data_An_Cour!$V:$V,$B276,BV_Data_An_Cour!$W:$W,$C276,BV_Data_An_Cour!$X:$X,$L$2)</f>
        <v>0</v>
      </c>
      <c r="M276" s="297"/>
      <c r="N276" s="298">
        <f t="shared" si="135"/>
        <v>-659.4536520833334</v>
      </c>
      <c r="O276" s="297"/>
      <c r="P276" s="172"/>
      <c r="Q276" s="174">
        <f>SUMIFS(BV_Data_An_Prec!$P:$P,BV_Data_An_Prec!$U:$U,$B276,BV_Data_An_Prec!$V:$V,$C276,BV_Data_An_Prec!$W:$W,$L$2)</f>
        <v>631.34</v>
      </c>
      <c r="R276" s="297"/>
      <c r="S276" s="193">
        <f t="shared" si="136"/>
        <v>-631.34</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0"/>
        <v>CarrosserieFrais postaux</v>
      </c>
      <c r="B277" s="24" t="s">
        <v>171</v>
      </c>
      <c r="C277" s="299" t="s">
        <v>131</v>
      </c>
      <c r="D277" s="295"/>
      <c r="E277" s="172"/>
      <c r="F277" s="173">
        <f>+SUMPRODUCT(('Budget original'!$A$8:$A$500=$A277)*('Budget original'!$C$3:$AO$3=F$2),'Budget original'!$C$8:$AO$500)</f>
        <v>352.0060979166667</v>
      </c>
      <c r="G277" s="296"/>
      <c r="H277" s="172"/>
      <c r="I277" s="173">
        <f>+SUMPRODUCT(('Budget révisé'!$A$8:$A$500=$A277)*('Budget révisé'!$C$3:$AO$3=I$2),'Budget révisé'!$C$8:$AO$500)</f>
        <v>352.0060979166667</v>
      </c>
      <c r="J277" s="297"/>
      <c r="K277" s="172"/>
      <c r="L277" s="275">
        <f>SUMIFS(BV_Data_An_Cour!$Q:$Q,BV_Data_An_Cour!$V:$V,$B277,BV_Data_An_Cour!$W:$W,$C277,BV_Data_An_Cour!$X:$X,$L$2)</f>
        <v>0</v>
      </c>
      <c r="M277" s="297"/>
      <c r="N277" s="298">
        <f t="shared" si="135"/>
        <v>-352.0060979166667</v>
      </c>
      <c r="O277" s="297"/>
      <c r="P277" s="172"/>
      <c r="Q277" s="174">
        <f>SUMIFS(BV_Data_An_Prec!$P:$P,BV_Data_An_Prec!$U:$U,$B277,BV_Data_An_Prec!$V:$V,$C277,BV_Data_An_Prec!$W:$W,$L$2)</f>
        <v>378.22</v>
      </c>
      <c r="R277" s="297"/>
      <c r="S277" s="193">
        <f t="shared" si="136"/>
        <v>-378.22</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0"/>
        <v>CarrosserieDivers</v>
      </c>
      <c r="B278" s="24" t="s">
        <v>171</v>
      </c>
      <c r="C278" s="299" t="s">
        <v>132</v>
      </c>
      <c r="D278" s="295"/>
      <c r="E278" s="172"/>
      <c r="F278" s="173">
        <f>+SUMPRODUCT(('Budget original'!$A$8:$A$500=$A278)*('Budget original'!$C$3:$AO$3=F$2),'Budget original'!$C$8:$AO$500)</f>
        <v>1698.0109854166667</v>
      </c>
      <c r="G278" s="296"/>
      <c r="H278" s="172"/>
      <c r="I278" s="173">
        <f>+SUMPRODUCT(('Budget révisé'!$A$8:$A$500=$A278)*('Budget révisé'!$C$3:$AO$3=I$2),'Budget révisé'!$C$8:$AO$500)</f>
        <v>1698.0109854166667</v>
      </c>
      <c r="J278" s="297"/>
      <c r="K278" s="172"/>
      <c r="L278" s="275">
        <f>SUMIFS(BV_Data_An_Cour!$Q:$Q,BV_Data_An_Cour!$V:$V,$B278,BV_Data_An_Cour!$W:$W,$C278,BV_Data_An_Cour!$X:$X,$L$2)</f>
        <v>0</v>
      </c>
      <c r="M278" s="297"/>
      <c r="N278" s="298">
        <f t="shared" si="135"/>
        <v>-1698.0109854166667</v>
      </c>
      <c r="O278" s="297"/>
      <c r="P278" s="172"/>
      <c r="Q278" s="174">
        <f>SUMIFS(BV_Data_An_Prec!$P:$P,BV_Data_An_Prec!$U:$U,$B278,BV_Data_An_Prec!$V:$V,$C278,BV_Data_An_Prec!$W:$W,$L$2)</f>
        <v>1720.38</v>
      </c>
      <c r="R278" s="297"/>
      <c r="S278" s="193">
        <f t="shared" si="136"/>
        <v>-1720.38</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0"/>
        <v>CarrosserieFormation</v>
      </c>
      <c r="B279" s="24" t="s">
        <v>171</v>
      </c>
      <c r="C279" s="299" t="s">
        <v>133</v>
      </c>
      <c r="D279" s="295"/>
      <c r="E279" s="172"/>
      <c r="F279" s="173">
        <f>+SUMPRODUCT(('Budget original'!$A$8:$A$500=$A279)*('Budget original'!$C$3:$AO$3=F$2),'Budget original'!$C$8:$AO$500)</f>
        <v>2522.7480833333339</v>
      </c>
      <c r="G279" s="296"/>
      <c r="H279" s="172"/>
      <c r="I279" s="173">
        <f>+SUMPRODUCT(('Budget révisé'!$A$8:$A$500=$A279)*('Budget révisé'!$C$3:$AO$3=I$2),'Budget révisé'!$C$8:$AO$500)</f>
        <v>2522.7480833333339</v>
      </c>
      <c r="J279" s="297"/>
      <c r="K279" s="172"/>
      <c r="L279" s="275">
        <f>SUMIFS(BV_Data_An_Cour!$Q:$Q,BV_Data_An_Cour!$V:$V,$B279,BV_Data_An_Cour!$W:$W,$C279,BV_Data_An_Cour!$X:$X,$L$2)</f>
        <v>0</v>
      </c>
      <c r="M279" s="297"/>
      <c r="N279" s="298">
        <f t="shared" si="135"/>
        <v>-2522.7480833333339</v>
      </c>
      <c r="O279" s="297"/>
      <c r="P279" s="172"/>
      <c r="Q279" s="174">
        <f>SUMIFS(BV_Data_An_Prec!$P:$P,BV_Data_An_Prec!$U:$U,$B279,BV_Data_An_Prec!$V:$V,$C279,BV_Data_An_Prec!$W:$W,$L$2)</f>
        <v>132</v>
      </c>
      <c r="R279" s="297"/>
      <c r="S279" s="193">
        <f t="shared" si="136"/>
        <v>-132</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0"/>
        <v>CarrosserieFrais bancaires</v>
      </c>
      <c r="B280" s="24" t="s">
        <v>171</v>
      </c>
      <c r="C280" s="299" t="s">
        <v>134</v>
      </c>
      <c r="D280" s="295"/>
      <c r="E280" s="172"/>
      <c r="F280" s="225">
        <f>+SUMPRODUCT(('Budget original'!$A$8:$A$500=$A280)*('Budget original'!$C$3:$AO$3=F$2),'Budget original'!$C$8:$AO$500)</f>
        <v>4732.4633253038592</v>
      </c>
      <c r="G280" s="296"/>
      <c r="H280" s="172"/>
      <c r="I280" s="173">
        <f>+SUMPRODUCT(('Budget révisé'!$A$8:$A$500=$A280)*('Budget révisé'!$C$3:$AO$3=I$2),'Budget révisé'!$C$8:$AO$500)</f>
        <v>4732.4633253038592</v>
      </c>
      <c r="J280" s="297"/>
      <c r="K280" s="172"/>
      <c r="L280" s="275">
        <f>AF447*W6</f>
        <v>0</v>
      </c>
      <c r="M280" s="297"/>
      <c r="N280" s="298">
        <f t="shared" si="135"/>
        <v>-4732.4633253038592</v>
      </c>
      <c r="O280" s="297"/>
      <c r="P280" s="172"/>
      <c r="Q280" s="174">
        <f>AL447*W6</f>
        <v>1674.16975</v>
      </c>
      <c r="R280" s="297"/>
      <c r="S280" s="193">
        <f t="shared" si="136"/>
        <v>-1674.16975</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0"/>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5"/>
        <v>0</v>
      </c>
      <c r="O281" s="297"/>
      <c r="P281" s="172"/>
      <c r="Q281" s="174">
        <f>SUMIFS(BV_Data_An_Prec!$P:$P,BV_Data_An_Prec!$U:$U,$B281,BV_Data_An_Prec!$V:$V,$C281,BV_Data_An_Prec!$W:$W,$L$2)</f>
        <v>0</v>
      </c>
      <c r="R281" s="297"/>
      <c r="S281" s="193">
        <f t="shared" si="136"/>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0">+B282&amp;C282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1">L282-I282</f>
        <v>0</v>
      </c>
      <c r="O282" s="297"/>
      <c r="P282" s="172"/>
      <c r="Q282" s="174">
        <f>SUMIFS(BV_Data_An_Prec!$P:$P,BV_Data_An_Prec!$U:$U,$B282,BV_Data_An_Prec!$V:$V,$C282,BV_Data_An_Prec!$W:$W,$L$2)</f>
        <v>0</v>
      </c>
      <c r="R282" s="297"/>
      <c r="S282" s="193">
        <f t="shared" ref="S282" si="142">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0"/>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5"/>
        <v>0</v>
      </c>
      <c r="O283" s="297"/>
      <c r="P283" s="172"/>
      <c r="Q283" s="174">
        <f>SUMIFS(BV_Data_An_Prec!$P:$P,BV_Data_An_Prec!$U:$U,$B283,BV_Data_An_Prec!$V:$V,$C283,BV_Data_An_Prec!$W:$W,$L$2)</f>
        <v>0</v>
      </c>
      <c r="R283" s="297"/>
      <c r="S283" s="193">
        <f t="shared" si="136"/>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43042.466625221612</v>
      </c>
      <c r="G284" s="42" t="s">
        <v>111</v>
      </c>
      <c r="H284" s="40" t="e">
        <f>I284/I$243</f>
        <v>#DIV/0!</v>
      </c>
      <c r="I284" s="41">
        <f>+SUM(I266:I283)</f>
        <v>43042.466625221612</v>
      </c>
      <c r="J284" s="42" t="s">
        <v>111</v>
      </c>
      <c r="K284" s="40">
        <f>IF(L261=0,0,L284/L$243)</f>
        <v>0</v>
      </c>
      <c r="L284" s="41">
        <f>+SUM(L266:L283)</f>
        <v>0</v>
      </c>
      <c r="M284" s="44"/>
      <c r="N284" s="41">
        <f>+SUM(N266:N283)</f>
        <v>-43042.466625221612</v>
      </c>
      <c r="O284" s="42" t="s">
        <v>111</v>
      </c>
      <c r="P284" s="40" t="e">
        <f>IF(Q261=0,0,Q284/Q$243)</f>
        <v>#DIV/0!</v>
      </c>
      <c r="Q284" s="41">
        <f>+SUM(Q266:Q283)</f>
        <v>33880.609750000003</v>
      </c>
      <c r="R284" s="44"/>
      <c r="S284" s="310">
        <f t="shared" si="136"/>
        <v>-33880.609750000003</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117999.78762172326</v>
      </c>
      <c r="G286" s="42" t="s">
        <v>111</v>
      </c>
      <c r="H286" s="40" t="e">
        <f>I286/I$243</f>
        <v>#DIV/0!</v>
      </c>
      <c r="I286" s="41">
        <f>I265+I284</f>
        <v>117999.78762172326</v>
      </c>
      <c r="J286" s="42" t="s">
        <v>111</v>
      </c>
      <c r="K286" s="40">
        <f>IF(L263=0,0,L286/L$243)</f>
        <v>0</v>
      </c>
      <c r="L286" s="41">
        <f>L265+L284</f>
        <v>0</v>
      </c>
      <c r="M286" s="44"/>
      <c r="N286" s="46">
        <f t="shared" ref="N286:N288" si="143">L286-I286</f>
        <v>-117999.78762172326</v>
      </c>
      <c r="O286" s="42" t="s">
        <v>111</v>
      </c>
      <c r="P286" s="40" t="e">
        <f>IF(Q263=0,0,Q286/Q$243)</f>
        <v>#DIV/0!</v>
      </c>
      <c r="Q286" s="41">
        <f>Q265+Q284</f>
        <v>127856.03975000001</v>
      </c>
      <c r="R286" s="44"/>
      <c r="S286" s="293">
        <f>L286-Q286</f>
        <v>-127856.03975000001</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77105.632543279498</v>
      </c>
      <c r="G288" s="338"/>
      <c r="H288" s="336"/>
      <c r="I288" s="337">
        <f>I249-I286</f>
        <v>77105.632543279498</v>
      </c>
      <c r="J288" s="339"/>
      <c r="K288" s="340"/>
      <c r="L288" s="337">
        <f>L249-L286</f>
        <v>0</v>
      </c>
      <c r="M288" s="339"/>
      <c r="N288" s="337">
        <f t="shared" si="143"/>
        <v>-77105.632543279498</v>
      </c>
      <c r="O288" s="339"/>
      <c r="P288" s="340"/>
      <c r="Q288" s="337">
        <f>Q249-Q286</f>
        <v>53796.260249999948</v>
      </c>
      <c r="R288" s="339"/>
      <c r="S288" s="341">
        <f>L288-Q288</f>
        <v>-53796.260249999948</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Octobre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21" t="s">
        <v>77</v>
      </c>
      <c r="E292" s="1422"/>
      <c r="F292" s="1423"/>
      <c r="G292" s="1424" t="s">
        <v>145</v>
      </c>
      <c r="H292" s="1422"/>
      <c r="I292" s="1423"/>
      <c r="J292" s="1424" t="s">
        <v>79</v>
      </c>
      <c r="K292" s="1422"/>
      <c r="L292" s="1423"/>
      <c r="M292" s="1424" t="s">
        <v>80</v>
      </c>
      <c r="N292" s="1423"/>
      <c r="O292" s="1421" t="s">
        <v>81</v>
      </c>
      <c r="P292" s="1422"/>
      <c r="Q292" s="1423"/>
      <c r="R292" s="1424" t="s">
        <v>82</v>
      </c>
      <c r="S292" s="1425"/>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4">+B293&amp;C293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4"/>
        <v>PiècesPièces Ro Clients</v>
      </c>
      <c r="B294" s="24" t="s">
        <v>175</v>
      </c>
      <c r="C294" s="258" t="s">
        <v>177</v>
      </c>
      <c r="D294" s="191">
        <f>+SUMPRODUCT(('Budget original'!$A$8:$A$500=$A294)*('Budget original'!$C$3:$AO$3=D$2),'Budget original'!$C$8:$AO$500)</f>
        <v>755274.73954356427</v>
      </c>
      <c r="E294" s="204">
        <f>IF(D294=0,0,F294/D294)</f>
        <v>0.35811007851031484</v>
      </c>
      <c r="F294" s="193">
        <f>+SUMPRODUCT(('Budget original'!$A$8:$A$500=$A294)*('Budget original'!$C$3:$AO$3=F$2),'Budget original'!$C$8:$AO$500)</f>
        <v>270471.49627480342</v>
      </c>
      <c r="G294" s="191">
        <f>+SUMPRODUCT(('Budget révisé'!$A$8:$A$500=$A294)*('Budget révisé'!$C$3:$AO$3=G$2),'Budget révisé'!$C$8:$AO$500)</f>
        <v>755274.73954356427</v>
      </c>
      <c r="H294" s="204">
        <f>IF(G294=0,0,I294/G294)</f>
        <v>0.35811007851031484</v>
      </c>
      <c r="I294" s="193">
        <f>+SUMPRODUCT(('Budget révisé'!$A$8:$A$500=$A294)*('Budget révisé'!$C$3:$AO$3=I$2),'Budget révisé'!$C$8:$AO$500)</f>
        <v>270471.49627480342</v>
      </c>
      <c r="J294" s="173">
        <f>-SUMIFS(BV_Data_An_Cour!$Q:$Q,BV_Data_An_Cour!$Y:$Y,"Oui",BV_Data_An_Cour!$V:$V,$B294,BV_Data_An_Cour!$W:$W,$C294)</f>
        <v>0</v>
      </c>
      <c r="K294" s="204">
        <f t="shared" ref="K294:K303" si="145">IF(J294&lt;=0,0,L294/J294)</f>
        <v>0</v>
      </c>
      <c r="L294" s="174">
        <f>-SUMIFS(BV_Data_An_Cour!$Q:$Q,BV_Data_An_Cour!$V:$V,$B294,BV_Data_An_Cour!$W:$W,$C294,BV_Data_An_Cour!$X:$X,$L$2)</f>
        <v>0</v>
      </c>
      <c r="M294" s="318">
        <f t="shared" ref="M294:M299" si="146">(+J294-G294)/G294</f>
        <v>-1</v>
      </c>
      <c r="N294" s="298">
        <f t="shared" ref="N294:N303" si="147">L294-I294</f>
        <v>-270471.49627480342</v>
      </c>
      <c r="O294" s="173">
        <f>-SUMIFS(BV_Data_An_Prec!$P:$P,BV_Data_An_Prec!$X:$X,"Oui",BV_Data_An_Prec!$U:$U,$B294,BV_Data_An_Prec!$V:$V,$C294)</f>
        <v>617426.52</v>
      </c>
      <c r="P294" s="204">
        <f t="shared" ref="P294:P303" si="148">IF(O294&lt;=0,0,Q294/O294)</f>
        <v>0.35872963474260877</v>
      </c>
      <c r="Q294" s="174">
        <f>-SUMIFS(BV_Data_An_Prec!$P:$P,BV_Data_An_Prec!$U:$U,$B294,BV_Data_An_Prec!$V:$V,$C294,BV_Data_An_Prec!$W:$W,$L$2)</f>
        <v>221489.19000000003</v>
      </c>
      <c r="R294" s="318">
        <f>IF(O294=0,0,(J294-O294)/O294)</f>
        <v>-1</v>
      </c>
      <c r="S294" s="193">
        <f t="shared" ref="S294:S303" si="149">L294-Q294</f>
        <v>-221489.19000000003</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4"/>
        <v>PiècesPièces Ro Carrosserie</v>
      </c>
      <c r="B295" s="24" t="s">
        <v>175</v>
      </c>
      <c r="C295" s="258" t="s">
        <v>178</v>
      </c>
      <c r="D295" s="191">
        <f>+SUMPRODUCT(('Budget original'!$A$8:$A$500=$A295)*('Budget original'!$C$3:$AO$3=D$2),'Budget original'!$C$8:$AO$500)</f>
        <v>451041.74131734378</v>
      </c>
      <c r="E295" s="204">
        <f t="shared" ref="E295:E302" si="150">IF(D295=0,0,F295/D295)</f>
        <v>0.25717233040360804</v>
      </c>
      <c r="F295" s="193">
        <f>+SUMPRODUCT(('Budget original'!$A$8:$A$500=$A295)*('Budget original'!$C$3:$AO$3=F$2),'Budget original'!$C$8:$AO$500)</f>
        <v>115995.45572388265</v>
      </c>
      <c r="G295" s="191">
        <f>+SUMPRODUCT(('Budget révisé'!$A$8:$A$500=$A295)*('Budget révisé'!$C$3:$AO$3=G$2),'Budget révisé'!$C$8:$AO$500)</f>
        <v>451041.74131734378</v>
      </c>
      <c r="H295" s="204">
        <f t="shared" ref="H295:H302" si="151">IF(G295=0,0,I295/G295)</f>
        <v>0.25717233040360804</v>
      </c>
      <c r="I295" s="193">
        <f>+SUMPRODUCT(('Budget révisé'!$A$8:$A$500=$A295)*('Budget révisé'!$C$3:$AO$3=I$2),'Budget révisé'!$C$8:$AO$500)</f>
        <v>115995.45572388265</v>
      </c>
      <c r="J295" s="173">
        <f>-SUMIFS(BV_Data_An_Cour!$Q:$Q,BV_Data_An_Cour!$Y:$Y,"Oui",BV_Data_An_Cour!$V:$V,$B295,BV_Data_An_Cour!$W:$W,$C295)</f>
        <v>0</v>
      </c>
      <c r="K295" s="204">
        <f t="shared" si="145"/>
        <v>0</v>
      </c>
      <c r="L295" s="174">
        <f>-SUMIFS(BV_Data_An_Cour!$Q:$Q,BV_Data_An_Cour!$V:$V,$B295,BV_Data_An_Cour!$W:$W,$C295,BV_Data_An_Cour!$X:$X,$L$2)</f>
        <v>0</v>
      </c>
      <c r="M295" s="318">
        <f t="shared" si="146"/>
        <v>-1</v>
      </c>
      <c r="N295" s="298">
        <f t="shared" si="147"/>
        <v>-115995.45572388265</v>
      </c>
      <c r="O295" s="173">
        <f>-SUMIFS(BV_Data_An_Prec!$P:$P,BV_Data_An_Prec!$X:$X,"Oui",BV_Data_An_Prec!$U:$U,$B295,BV_Data_An_Prec!$V:$V,$C295)</f>
        <v>448125.54000000004</v>
      </c>
      <c r="P295" s="204">
        <f t="shared" si="148"/>
        <v>0.25000541143002031</v>
      </c>
      <c r="Q295" s="174">
        <f>-SUMIFS(BV_Data_An_Prec!$P:$P,BV_Data_An_Prec!$U:$U,$B295,BV_Data_An_Prec!$V:$V,$C295,BV_Data_An_Prec!$W:$W,$L$2)</f>
        <v>112033.81000000003</v>
      </c>
      <c r="R295" s="318">
        <f t="shared" ref="R295:R302" si="152">IF(O295=0,0,(J295-O295)/O295)</f>
        <v>-1</v>
      </c>
      <c r="S295" s="193">
        <f t="shared" si="149"/>
        <v>-112033.81000000003</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4"/>
        <v>PiècesP/A Garantie</v>
      </c>
      <c r="B296" s="24" t="s">
        <v>175</v>
      </c>
      <c r="C296" s="258" t="s">
        <v>179</v>
      </c>
      <c r="D296" s="191">
        <f>+SUMPRODUCT(('Budget original'!$A$8:$A$500=$A296)*('Budget original'!$C$3:$AO$3=D$2),'Budget original'!$C$8:$AO$500)</f>
        <v>832658.9298535944</v>
      </c>
      <c r="E296" s="204">
        <f t="shared" si="150"/>
        <v>0.24177651145507995</v>
      </c>
      <c r="F296" s="193">
        <f>+SUMPRODUCT(('Budget original'!$A$8:$A$500=$A296)*('Budget original'!$C$3:$AO$3=F$2),'Budget original'!$C$8:$AO$500)</f>
        <v>201317.37129192217</v>
      </c>
      <c r="G296" s="191">
        <f>+SUMPRODUCT(('Budget révisé'!$A$8:$A$500=$A296)*('Budget révisé'!$C$3:$AO$3=G$2),'Budget révisé'!$C$8:$AO$500)</f>
        <v>832658.9298535944</v>
      </c>
      <c r="H296" s="204">
        <f t="shared" si="151"/>
        <v>0.24177651145507995</v>
      </c>
      <c r="I296" s="193">
        <f>+SUMPRODUCT(('Budget révisé'!$A$8:$A$500=$A296)*('Budget révisé'!$C$3:$AO$3=I$2),'Budget révisé'!$C$8:$AO$500)</f>
        <v>201317.37129192217</v>
      </c>
      <c r="J296" s="173">
        <f>-SUMIFS(BV_Data_An_Cour!$Q:$Q,BV_Data_An_Cour!$Y:$Y,"Oui",BV_Data_An_Cour!$V:$V,$B296,BV_Data_An_Cour!$W:$W,$C296)</f>
        <v>0</v>
      </c>
      <c r="K296" s="204">
        <f t="shared" si="145"/>
        <v>0</v>
      </c>
      <c r="L296" s="174">
        <f>-SUMIFS(BV_Data_An_Cour!$Q:$Q,BV_Data_An_Cour!$V:$V,$B296,BV_Data_An_Cour!$W:$W,$C296,BV_Data_An_Cour!$X:$X,$L$2)</f>
        <v>0</v>
      </c>
      <c r="M296" s="318">
        <f t="shared" si="146"/>
        <v>-1</v>
      </c>
      <c r="N296" s="298">
        <f t="shared" si="147"/>
        <v>-201317.37129192217</v>
      </c>
      <c r="O296" s="173">
        <f>-SUMIFS(BV_Data_An_Prec!$P:$P,BV_Data_An_Prec!$X:$X,"Oui",BV_Data_An_Prec!$U:$U,$B296,BV_Data_An_Prec!$V:$V,$C296)</f>
        <v>733353.73</v>
      </c>
      <c r="P296" s="204">
        <f t="shared" si="148"/>
        <v>0.23791426001201349</v>
      </c>
      <c r="Q296" s="174">
        <f>-SUMIFS(BV_Data_An_Prec!$P:$P,BV_Data_An_Prec!$U:$U,$B296,BV_Data_An_Prec!$V:$V,$C296,BV_Data_An_Prec!$W:$W,$L$2)</f>
        <v>174475.30999999994</v>
      </c>
      <c r="R296" s="318">
        <f t="shared" si="152"/>
        <v>-1</v>
      </c>
      <c r="S296" s="193">
        <f t="shared" si="149"/>
        <v>-174475.30999999994</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4"/>
        <v>PiècesVentes Internes</v>
      </c>
      <c r="B297" s="24" t="s">
        <v>175</v>
      </c>
      <c r="C297" s="258" t="s">
        <v>180</v>
      </c>
      <c r="D297" s="191">
        <f>+SUMPRODUCT(('Budget original'!$A$8:$A$500=$A297)*('Budget original'!$C$3:$AO$3=D$2),'Budget original'!$C$8:$AO$500)</f>
        <v>561476.50142103119</v>
      </c>
      <c r="E297" s="204">
        <f t="shared" si="150"/>
        <v>0.32393223852119102</v>
      </c>
      <c r="F297" s="193">
        <f>+SUMPRODUCT(('Budget original'!$A$8:$A$500=$A297)*('Budget original'!$C$3:$AO$3=F$2),'Budget original'!$C$8:$AO$500)</f>
        <v>181880.33998236133</v>
      </c>
      <c r="G297" s="191">
        <f>+SUMPRODUCT(('Budget révisé'!$A$8:$A$500=$A297)*('Budget révisé'!$C$3:$AO$3=G$2),'Budget révisé'!$C$8:$AO$500)</f>
        <v>561476.50142103119</v>
      </c>
      <c r="H297" s="204">
        <f t="shared" si="151"/>
        <v>0.32393223852119102</v>
      </c>
      <c r="I297" s="193">
        <f>+SUMPRODUCT(('Budget révisé'!$A$8:$A$500=$A297)*('Budget révisé'!$C$3:$AO$3=I$2),'Budget révisé'!$C$8:$AO$500)</f>
        <v>181880.33998236133</v>
      </c>
      <c r="J297" s="173">
        <f>-SUMIFS(BV_Data_An_Cour!$Q:$Q,BV_Data_An_Cour!$Y:$Y,"Oui",BV_Data_An_Cour!$V:$V,$B297,BV_Data_An_Cour!$W:$W,$C297)</f>
        <v>0</v>
      </c>
      <c r="K297" s="204">
        <f t="shared" si="145"/>
        <v>0</v>
      </c>
      <c r="L297" s="174">
        <f>-SUMIFS(BV_Data_An_Cour!$Q:$Q,BV_Data_An_Cour!$V:$V,$B297,BV_Data_An_Cour!$W:$W,$C297,BV_Data_An_Cour!$X:$X,$L$2)</f>
        <v>0</v>
      </c>
      <c r="M297" s="318">
        <f t="shared" si="146"/>
        <v>-1</v>
      </c>
      <c r="N297" s="298">
        <f t="shared" si="147"/>
        <v>-181880.33998236133</v>
      </c>
      <c r="O297" s="173">
        <f>-SUMIFS(BV_Data_An_Prec!$P:$P,BV_Data_An_Prec!$X:$X,"Oui",BV_Data_An_Prec!$U:$U,$B297,BV_Data_An_Prec!$V:$V,$C297)</f>
        <v>515648.8</v>
      </c>
      <c r="P297" s="204">
        <f t="shared" si="148"/>
        <v>0.3123463295172994</v>
      </c>
      <c r="Q297" s="174">
        <f>-SUMIFS(BV_Data_An_Prec!$P:$P,BV_Data_An_Prec!$U:$U,$B297,BV_Data_An_Prec!$V:$V,$C297,BV_Data_An_Prec!$W:$W,$L$2)</f>
        <v>161061.01</v>
      </c>
      <c r="R297" s="318">
        <f t="shared" si="152"/>
        <v>-1</v>
      </c>
      <c r="S297" s="193">
        <f t="shared" si="149"/>
        <v>-161061.01</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4"/>
        <v>PiècesVentes Détails</v>
      </c>
      <c r="B298" s="24" t="s">
        <v>175</v>
      </c>
      <c r="C298" s="258" t="s">
        <v>181</v>
      </c>
      <c r="D298" s="191">
        <f>+SUMPRODUCT(('Budget original'!$A$8:$A$500=$A298)*('Budget original'!$C$3:$AO$3=D$2),'Budget original'!$C$8:$AO$500)</f>
        <v>168980.56291958087</v>
      </c>
      <c r="E298" s="204">
        <f t="shared" si="150"/>
        <v>0.2811373070712001</v>
      </c>
      <c r="F298" s="193">
        <f>+SUMPRODUCT(('Budget original'!$A$8:$A$500=$A298)*('Budget original'!$C$3:$AO$3=F$2),'Budget original'!$C$8:$AO$500)</f>
        <v>47506.740406586461</v>
      </c>
      <c r="G298" s="191">
        <f>+SUMPRODUCT(('Budget révisé'!$A$8:$A$500=$A298)*('Budget révisé'!$C$3:$AO$3=G$2),'Budget révisé'!$C$8:$AO$500)</f>
        <v>168980.56291958087</v>
      </c>
      <c r="H298" s="204">
        <f t="shared" si="151"/>
        <v>0.2811373070712001</v>
      </c>
      <c r="I298" s="193">
        <f>+SUMPRODUCT(('Budget révisé'!$A$8:$A$500=$A298)*('Budget révisé'!$C$3:$AO$3=I$2),'Budget révisé'!$C$8:$AO$500)</f>
        <v>47506.740406586461</v>
      </c>
      <c r="J298" s="173">
        <f>-SUMIFS(BV_Data_An_Cour!$Q:$Q,BV_Data_An_Cour!$Y:$Y,"Oui",BV_Data_An_Cour!$V:$V,$B298,BV_Data_An_Cour!$W:$W,$C298)</f>
        <v>0</v>
      </c>
      <c r="K298" s="204">
        <f t="shared" si="145"/>
        <v>0</v>
      </c>
      <c r="L298" s="174">
        <f>-SUMIFS(BV_Data_An_Cour!$Q:$Q,BV_Data_An_Cour!$V:$V,$B298,BV_Data_An_Cour!$W:$W,$C298,BV_Data_An_Cour!$X:$X,$L$2)</f>
        <v>0</v>
      </c>
      <c r="M298" s="318">
        <f t="shared" si="146"/>
        <v>-1</v>
      </c>
      <c r="N298" s="298">
        <f t="shared" si="147"/>
        <v>-47506.740406586461</v>
      </c>
      <c r="O298" s="173">
        <f>-SUMIFS(BV_Data_An_Prec!$P:$P,BV_Data_An_Prec!$X:$X,"Oui",BV_Data_An_Prec!$U:$U,$B298,BV_Data_An_Prec!$V:$V,$C298)</f>
        <v>163325.26</v>
      </c>
      <c r="P298" s="204">
        <f t="shared" si="148"/>
        <v>0.26459685415470946</v>
      </c>
      <c r="Q298" s="174">
        <f>-SUMIFS(BV_Data_An_Prec!$P:$P,BV_Data_An_Prec!$U:$U,$B298,BV_Data_An_Prec!$V:$V,$C298,BV_Data_An_Prec!$W:$W,$L$2)</f>
        <v>43215.350000000006</v>
      </c>
      <c r="R298" s="318">
        <f t="shared" si="152"/>
        <v>-1</v>
      </c>
      <c r="S298" s="193">
        <f t="shared" si="149"/>
        <v>-43215.350000000006</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3">+B299&amp;C299</f>
        <v>PiècesVentes de Gros</v>
      </c>
      <c r="B299" s="24" t="s">
        <v>175</v>
      </c>
      <c r="C299" s="258" t="s">
        <v>182</v>
      </c>
      <c r="D299" s="191">
        <f>+SUMPRODUCT(('Budget original'!$A$8:$A$500=$A299)*('Budget original'!$C$3:$AO$3=D$2),'Budget original'!$C$8:$AO$500)</f>
        <v>523176.8609078108</v>
      </c>
      <c r="E299" s="204">
        <f t="shared" si="150"/>
        <v>0.18194830719212418</v>
      </c>
      <c r="F299" s="193">
        <f>+SUMPRODUCT(('Budget original'!$A$8:$A$500=$A299)*('Budget original'!$C$3:$AO$3=F$2),'Budget original'!$C$8:$AO$500)</f>
        <v>95191.144204265584</v>
      </c>
      <c r="G299" s="191">
        <f>+SUMPRODUCT(('Budget révisé'!$A$8:$A$500=$A299)*('Budget révisé'!$C$3:$AO$3=G$2),'Budget révisé'!$C$8:$AO$500)</f>
        <v>523176.8609078108</v>
      </c>
      <c r="H299" s="204">
        <f t="shared" si="151"/>
        <v>0.18194830719212418</v>
      </c>
      <c r="I299" s="193">
        <f>+SUMPRODUCT(('Budget révisé'!$A$8:$A$500=$A299)*('Budget révisé'!$C$3:$AO$3=I$2),'Budget révisé'!$C$8:$AO$500)</f>
        <v>95191.144204265584</v>
      </c>
      <c r="J299" s="173">
        <f>-SUMIFS(BV_Data_An_Cour!$Q:$Q,BV_Data_An_Cour!$Y:$Y,"Oui",BV_Data_An_Cour!$V:$V,$B299,BV_Data_An_Cour!$W:$W,$C299)</f>
        <v>0</v>
      </c>
      <c r="K299" s="204">
        <f t="shared" si="145"/>
        <v>0</v>
      </c>
      <c r="L299" s="174">
        <f>-SUMIFS(BV_Data_An_Cour!$Q:$Q,BV_Data_An_Cour!$V:$V,$B299,BV_Data_An_Cour!$W:$W,$C299,BV_Data_An_Cour!$X:$X,$L$2)</f>
        <v>0</v>
      </c>
      <c r="M299" s="318">
        <f t="shared" si="146"/>
        <v>-1</v>
      </c>
      <c r="N299" s="298">
        <f t="shared" si="147"/>
        <v>-95191.144204265584</v>
      </c>
      <c r="O299" s="173">
        <f>-SUMIFS(BV_Data_An_Prec!$P:$P,BV_Data_An_Prec!$X:$X,"Oui",BV_Data_An_Prec!$U:$U,$B299,BV_Data_An_Prec!$V:$V,$C299)</f>
        <v>489577.03</v>
      </c>
      <c r="P299" s="204">
        <f t="shared" si="148"/>
        <v>0.17467629149186184</v>
      </c>
      <c r="Q299" s="174">
        <f>-SUMIFS(BV_Data_An_Prec!$P:$P,BV_Data_An_Prec!$U:$U,$B299,BV_Data_An_Prec!$V:$V,$C299,BV_Data_An_Prec!$W:$W,$L$2)</f>
        <v>85517.5</v>
      </c>
      <c r="R299" s="318">
        <f t="shared" si="152"/>
        <v>-1</v>
      </c>
      <c r="S299" s="193">
        <f t="shared" si="149"/>
        <v>-85517.5</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3"/>
        <v>Pièces[...]</v>
      </c>
      <c r="B300" s="24" t="s">
        <v>175</v>
      </c>
      <c r="C300" s="258" t="s">
        <v>42</v>
      </c>
      <c r="D300" s="191">
        <f>+SUMPRODUCT(('Budget original'!$A$8:$A$500=$A300)*('Budget original'!$C$3:$AO$3=D$2),'Budget original'!$C$8:$AO$500)</f>
        <v>0</v>
      </c>
      <c r="E300" s="204">
        <f t="shared" ref="E300" si="154">IF(D300=0,0,F300/D300)</f>
        <v>0</v>
      </c>
      <c r="F300" s="193">
        <f>+SUMPRODUCT(('Budget original'!$A$8:$A$500=$A300)*('Budget original'!$C$3:$AO$3=F$2),'Budget original'!$C$8:$AO$500)</f>
        <v>0</v>
      </c>
      <c r="G300" s="191">
        <f>+SUMPRODUCT(('Budget révisé'!$A$8:$A$500=$A300)*('Budget révisé'!$C$3:$AO$3=G$2),'Budget révisé'!$C$8:$AO$500)</f>
        <v>0</v>
      </c>
      <c r="H300" s="204">
        <f t="shared" ref="H300" si="155">IF(G300=0,0,I300/G300)</f>
        <v>0</v>
      </c>
      <c r="I300" s="193">
        <f>+SUMPRODUCT(('Budget révisé'!$A$8:$A$500=$A300)*('Budget révisé'!$C$3:$AO$3=I$2),'Budget révisé'!$C$8:$AO$500)</f>
        <v>0</v>
      </c>
      <c r="J300" s="173">
        <f>-SUMIFS(BV_Data_An_Cour!$Q:$Q,BV_Data_An_Cour!$Y:$Y,"Oui",BV_Data_An_Cour!$V:$V,$B300,BV_Data_An_Cour!$W:$W,$C300)</f>
        <v>0</v>
      </c>
      <c r="K300" s="204">
        <f t="shared" ref="K300" si="156">IF(J300&lt;=0,0,L300/J300)</f>
        <v>0</v>
      </c>
      <c r="L300" s="174">
        <f>-SUMIFS(BV_Data_An_Cour!$Q:$Q,BV_Data_An_Cour!$V:$V,$B300,BV_Data_An_Cour!$W:$W,$C300,BV_Data_An_Cour!$X:$X,$L$2)</f>
        <v>0</v>
      </c>
      <c r="M300" s="318" t="e">
        <f t="shared" ref="M300" si="157">(+J300-G300)/G300</f>
        <v>#DIV/0!</v>
      </c>
      <c r="N300" s="298">
        <f t="shared" ref="N300" si="158">L300-I300</f>
        <v>0</v>
      </c>
      <c r="O300" s="173">
        <f>-SUMIFS(BV_Data_An_Prec!$P:$P,BV_Data_An_Prec!$X:$X,"Oui",BV_Data_An_Prec!$U:$U,$B300,BV_Data_An_Prec!$V:$V,$C300)</f>
        <v>0</v>
      </c>
      <c r="P300" s="204">
        <f t="shared" ref="P300" si="159">IF(O300&lt;=0,0,Q300/O300)</f>
        <v>0</v>
      </c>
      <c r="Q300" s="174">
        <f>-SUMIFS(BV_Data_An_Prec!$P:$P,BV_Data_An_Prec!$U:$U,$B300,BV_Data_An_Prec!$V:$V,$C300,BV_Data_An_Prec!$W:$W,$L$2)</f>
        <v>0</v>
      </c>
      <c r="R300" s="318">
        <f t="shared" ref="R300" si="160">IF(O300=0,0,(J300-O300)/O300)</f>
        <v>0</v>
      </c>
      <c r="S300" s="193">
        <f t="shared" ref="S300" si="16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4"/>
        <v>PiècesEscomptes</v>
      </c>
      <c r="B301" s="24" t="s">
        <v>175</v>
      </c>
      <c r="C301" s="258" t="s">
        <v>183</v>
      </c>
      <c r="D301" s="191">
        <f>+SUMPRODUCT(('Budget original'!$A$8:$A$500=$A301)*('Budget original'!$C$3:$AO$3=D$2),'Budget original'!$C$8:$AO$500)</f>
        <v>0</v>
      </c>
      <c r="E301" s="204">
        <f t="shared" si="150"/>
        <v>0</v>
      </c>
      <c r="F301" s="193">
        <f>+SUMPRODUCT(('Budget original'!$A$8:$A$500=$A301)*('Budget original'!$C$3:$AO$3=F$2),'Budget original'!$C$8:$AO$500)</f>
        <v>54566.152290794016</v>
      </c>
      <c r="G301" s="191">
        <f>+SUMPRODUCT(('Budget révisé'!$A$8:$A$500=$A301)*('Budget révisé'!$C$3:$AO$3=G$2),'Budget révisé'!$C$8:$AO$500)</f>
        <v>0</v>
      </c>
      <c r="H301" s="204">
        <f t="shared" si="151"/>
        <v>0</v>
      </c>
      <c r="I301" s="193">
        <f>+SUMPRODUCT(('Budget révisé'!$A$8:$A$500=$A301)*('Budget révisé'!$C$3:$AO$3=I$2),'Budget révisé'!$C$8:$AO$500)</f>
        <v>54566.152290794016</v>
      </c>
      <c r="J301" s="173">
        <f>-SUMIFS(BV_Data_An_Cour!$Q:$Q,BV_Data_An_Cour!$Y:$Y,"Oui",BV_Data_An_Cour!$V:$V,$B301,BV_Data_An_Cour!$W:$W,$C301)</f>
        <v>0</v>
      </c>
      <c r="K301" s="204">
        <f t="shared" si="145"/>
        <v>0</v>
      </c>
      <c r="L301" s="174">
        <f>-SUMIFS(BV_Data_An_Cour!$Q:$Q,BV_Data_An_Cour!$V:$V,$B301,BV_Data_An_Cour!$W:$W,$C301,BV_Data_An_Cour!$X:$X,$L$2)</f>
        <v>0</v>
      </c>
      <c r="M301" s="318"/>
      <c r="N301" s="298">
        <f t="shared" si="147"/>
        <v>-54566.152290794016</v>
      </c>
      <c r="O301" s="173">
        <f>-SUMIFS(BV_Data_An_Prec!$P:$P,BV_Data_An_Prec!$X:$X,"Oui",BV_Data_An_Prec!$U:$U,$B301,BV_Data_An_Prec!$V:$V,$C301)</f>
        <v>0</v>
      </c>
      <c r="P301" s="204">
        <f t="shared" si="148"/>
        <v>0</v>
      </c>
      <c r="Q301" s="174">
        <f>-SUMIFS(BV_Data_An_Prec!$P:$P,BV_Data_An_Prec!$U:$U,$B301,BV_Data_An_Prec!$V:$V,$C301,BV_Data_An_Prec!$W:$W,$L$2)</f>
        <v>72103.350000000006</v>
      </c>
      <c r="R301" s="318">
        <f t="shared" si="152"/>
        <v>0</v>
      </c>
      <c r="S301" s="193">
        <f t="shared" si="149"/>
        <v>-72103.350000000006</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4"/>
        <v>PiècesRectif. Inventaire</v>
      </c>
      <c r="B302" s="24" t="s">
        <v>175</v>
      </c>
      <c r="C302" s="320" t="s">
        <v>184</v>
      </c>
      <c r="D302" s="191">
        <f>+SUMPRODUCT(('Budget original'!$A$8:$A$500=$A302)*('Budget original'!$C$3:$AO$3=D$2),'Budget original'!$C$8:$AO$500)</f>
        <v>0</v>
      </c>
      <c r="E302" s="204">
        <f t="shared" si="150"/>
        <v>0</v>
      </c>
      <c r="F302" s="193">
        <f>+SUMPRODUCT(('Budget original'!$A$8:$A$500=$A302)*('Budget original'!$C$3:$AO$3=F$2),'Budget original'!$C$8:$AO$500)</f>
        <v>0</v>
      </c>
      <c r="G302" s="191">
        <f>+SUMPRODUCT(('Budget révisé'!$A$8:$A$500=$A302)*('Budget révisé'!$C$3:$AO$3=G$2),'Budget révisé'!$C$8:$AO$500)</f>
        <v>0</v>
      </c>
      <c r="H302" s="204">
        <f t="shared" si="151"/>
        <v>0</v>
      </c>
      <c r="I302" s="193">
        <f>+SUMPRODUCT(('Budget révisé'!$A$8:$A$500=$A302)*('Budget révisé'!$C$3:$AO$3=I$2),'Budget révisé'!$C$8:$AO$500)</f>
        <v>0</v>
      </c>
      <c r="J302" s="173">
        <f>-SUMIFS(BV_Data_An_Cour!$Q:$Q,BV_Data_An_Cour!$Y:$Y,"Oui",BV_Data_An_Cour!$V:$V,$B302,BV_Data_An_Cour!$W:$W,$C302)</f>
        <v>0</v>
      </c>
      <c r="K302" s="204">
        <f t="shared" si="145"/>
        <v>0</v>
      </c>
      <c r="L302" s="174">
        <f>-SUMIFS(BV_Data_An_Cour!$Q:$Q,BV_Data_An_Cour!$V:$V,$B302,BV_Data_An_Cour!$W:$W,$C302,BV_Data_An_Cour!$X:$X,$L$2)</f>
        <v>0</v>
      </c>
      <c r="M302" s="318"/>
      <c r="N302" s="298">
        <f t="shared" si="147"/>
        <v>0</v>
      </c>
      <c r="O302" s="173">
        <f>-SUMIFS(BV_Data_An_Prec!$P:$P,BV_Data_An_Prec!$X:$X,"Oui",BV_Data_An_Prec!$U:$U,$B302,BV_Data_An_Prec!$V:$V,$C302)</f>
        <v>0</v>
      </c>
      <c r="P302" s="204">
        <f t="shared" si="148"/>
        <v>0</v>
      </c>
      <c r="Q302" s="174">
        <f>-SUMIFS(BV_Data_An_Prec!$P:$P,BV_Data_An_Prec!$U:$U,$B302,BV_Data_An_Prec!$V:$V,$C302,BV_Data_An_Prec!$W:$W,$L$2)</f>
        <v>0</v>
      </c>
      <c r="R302" s="318">
        <f t="shared" si="152"/>
        <v>0</v>
      </c>
      <c r="S302" s="193">
        <f t="shared" si="149"/>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4"/>
        <v>PiècesSous-total Pièces</v>
      </c>
      <c r="B303" s="24" t="s">
        <v>175</v>
      </c>
      <c r="C303" s="321" t="s">
        <v>185</v>
      </c>
      <c r="D303" s="192">
        <f>SUM(D294:D302)</f>
        <v>3292609.3359629251</v>
      </c>
      <c r="E303" s="322">
        <f>IF(D303&lt;=0,0,F303/D303)</f>
        <v>0.29366639085102297</v>
      </c>
      <c r="F303" s="194">
        <f>SUM(F294:F302)</f>
        <v>966928.7001746156</v>
      </c>
      <c r="G303" s="192">
        <f>SUM(G294:G302)</f>
        <v>3292609.3359629251</v>
      </c>
      <c r="H303" s="322">
        <f>IF(G303&lt;=0,0,I303/G303)</f>
        <v>0.29366639085102297</v>
      </c>
      <c r="I303" s="194">
        <f>SUM(I294:I302)</f>
        <v>966928.7001746156</v>
      </c>
      <c r="J303" s="192">
        <f>SUM(J294:J302)</f>
        <v>0</v>
      </c>
      <c r="K303" s="322">
        <f t="shared" si="145"/>
        <v>0</v>
      </c>
      <c r="L303" s="323">
        <f>SUM(L294:L302)</f>
        <v>0</v>
      </c>
      <c r="M303" s="324">
        <f>(+J303-G303)/G303</f>
        <v>-1</v>
      </c>
      <c r="N303" s="323">
        <f t="shared" si="147"/>
        <v>-966928.7001746156</v>
      </c>
      <c r="O303" s="192">
        <f>SUM(O294:O302)</f>
        <v>2967456.88</v>
      </c>
      <c r="P303" s="322">
        <f t="shared" si="148"/>
        <v>0.29314512566733575</v>
      </c>
      <c r="Q303" s="323">
        <f>SUM(Q294:Q302)</f>
        <v>869895.52</v>
      </c>
      <c r="R303" s="324">
        <f>IF(O303=0,0,(J303-O303)/O303)</f>
        <v>-1</v>
      </c>
      <c r="S303" s="194">
        <f t="shared" si="149"/>
        <v>-869895.52</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4"/>
        <v>Pièces</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4"/>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4"/>
        <v>PiècesVentes Pneus</v>
      </c>
      <c r="B306" s="24" t="s">
        <v>175</v>
      </c>
      <c r="C306" s="258" t="s">
        <v>186</v>
      </c>
      <c r="D306" s="191">
        <f>+SUMPRODUCT(('Budget original'!$A$8:$A$500=$A306)*('Budget original'!$C$3:$AO$3=D$2),'Budget original'!$C$8:$AO$500)</f>
        <v>366512.08488304901</v>
      </c>
      <c r="E306" s="204">
        <f t="shared" ref="E306:E307" si="162">IF(D306=0,0,F306/D306)</f>
        <v>0.18164448381983828</v>
      </c>
      <c r="F306" s="195">
        <f>+SUMPRODUCT(('Budget original'!$A$8:$A$500=$A306)*('Budget original'!$C$3:$AO$3=F$2),'Budget original'!$C$8:$AO$500)</f>
        <v>66574.898472314191</v>
      </c>
      <c r="G306" s="191">
        <f>+SUMPRODUCT(('Budget révisé'!$A$8:$A$500=$A306)*('Budget révisé'!$C$3:$AO$3=G$2),'Budget révisé'!$C$8:$AO$500)</f>
        <v>366512.08488304901</v>
      </c>
      <c r="H306" s="204">
        <f t="shared" ref="H306:H307" si="163">IF(G306=0,0,I306/G306)</f>
        <v>0.18164448381983828</v>
      </c>
      <c r="I306" s="195">
        <f>+SUMPRODUCT(('Budget révisé'!$A$8:$A$500=$A306)*('Budget révisé'!$C$3:$AO$3=I$2),'Budget révisé'!$C$8:$AO$500)</f>
        <v>66574.898472314191</v>
      </c>
      <c r="J306" s="173">
        <f>-SUMIFS(BV_Data_An_Cour!$Q:$Q,BV_Data_An_Cour!$Y:$Y,"Oui",BV_Data_An_Cour!$V:$V,$B306,BV_Data_An_Cour!$W:$W,$C306)</f>
        <v>0</v>
      </c>
      <c r="K306" s="204">
        <f t="shared" ref="K306:K308" si="164">IF(J306&lt;=0,0,L306/J306)</f>
        <v>0</v>
      </c>
      <c r="L306" s="174">
        <f>-SUMIFS(BV_Data_An_Cour!$Q:$Q,BV_Data_An_Cour!$V:$V,$B306,BV_Data_An_Cour!$W:$W,$C306,BV_Data_An_Cour!$X:$X,$L$2)</f>
        <v>0</v>
      </c>
      <c r="M306" s="318">
        <f t="shared" ref="M306:M308" si="165">(+J306-G306)/G306</f>
        <v>-1</v>
      </c>
      <c r="N306" s="298">
        <f t="shared" ref="N306:N308" si="166">L306-I306</f>
        <v>-66574.898472314191</v>
      </c>
      <c r="O306" s="173">
        <f>-SUMIFS(BV_Data_An_Prec!$P:$P,BV_Data_An_Prec!$X:$X,"Oui",BV_Data_An_Prec!$U:$U,$B306,BV_Data_An_Prec!$V:$V,$C306)</f>
        <v>347253.52</v>
      </c>
      <c r="P306" s="204">
        <f t="shared" ref="P306:P308" si="167">IF(O306&lt;=0,0,Q306/O306)</f>
        <v>0.16835996363694175</v>
      </c>
      <c r="Q306" s="174">
        <f>-SUMIFS(BV_Data_An_Prec!$P:$P,BV_Data_An_Prec!$U:$U,$B306,BV_Data_An_Prec!$V:$V,$C306,BV_Data_An_Prec!$W:$W,$L$2)</f>
        <v>58463.590000000033</v>
      </c>
      <c r="R306" s="318">
        <f t="shared" ref="R306:R307" si="168">IF(O306=0,0,(J306-O306)/O306)</f>
        <v>-1</v>
      </c>
      <c r="S306" s="193">
        <f t="shared" ref="S306:S308" si="169">L306-Q306</f>
        <v>-58463.590000000033</v>
      </c>
      <c r="T306" s="216"/>
      <c r="U306" s="216" t="e">
        <f>J306/(J96+J27)</f>
        <v>#DIV/0!</v>
      </c>
      <c r="V306" s="216">
        <f>G306/(G96+G27)</f>
        <v>325.85883240085241</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4"/>
        <v>PiècesHuiles et Graisse</v>
      </c>
      <c r="B307" s="24" t="s">
        <v>175</v>
      </c>
      <c r="C307" s="320" t="s">
        <v>187</v>
      </c>
      <c r="D307" s="191">
        <f>+SUMPRODUCT(('Budget original'!$A$8:$A$500=$A307)*('Budget original'!$C$3:$AO$3=D$2),'Budget original'!$C$8:$AO$500)</f>
        <v>183423.76024417163</v>
      </c>
      <c r="E307" s="204">
        <f t="shared" si="162"/>
        <v>0.29130399895825632</v>
      </c>
      <c r="F307" s="196">
        <f>+SUMPRODUCT(('Budget original'!$A$8:$A$500=$A307)*('Budget original'!$C$3:$AO$3=F$2),'Budget original'!$C$8:$AO$500)</f>
        <v>53432.074863087633</v>
      </c>
      <c r="G307" s="191">
        <f>+SUMPRODUCT(('Budget révisé'!$A$8:$A$500=$A307)*('Budget révisé'!$C$3:$AO$3=G$2),'Budget révisé'!$C$8:$AO$500)</f>
        <v>183423.76024417163</v>
      </c>
      <c r="H307" s="204">
        <f t="shared" si="163"/>
        <v>0.29130399895825632</v>
      </c>
      <c r="I307" s="196">
        <f>+SUMPRODUCT(('Budget révisé'!$A$8:$A$500=$A307)*('Budget révisé'!$C$3:$AO$3=I$2),'Budget révisé'!$C$8:$AO$500)</f>
        <v>53432.074863087633</v>
      </c>
      <c r="J307" s="173">
        <f>-SUMIFS(BV_Data_An_Cour!$Q:$Q,BV_Data_An_Cour!$Y:$Y,"Oui",BV_Data_An_Cour!$V:$V,$B307,BV_Data_An_Cour!$W:$W,$C307)</f>
        <v>0</v>
      </c>
      <c r="K307" s="204">
        <f t="shared" si="164"/>
        <v>0</v>
      </c>
      <c r="L307" s="174">
        <f>-SUMIFS(BV_Data_An_Cour!$Q:$Q,BV_Data_An_Cour!$V:$V,$B307,BV_Data_An_Cour!$W:$W,$C307,BV_Data_An_Cour!$X:$X,$L$2)</f>
        <v>0</v>
      </c>
      <c r="M307" s="318">
        <f t="shared" si="165"/>
        <v>-1</v>
      </c>
      <c r="N307" s="298">
        <f t="shared" si="166"/>
        <v>-53432.074863087633</v>
      </c>
      <c r="O307" s="173">
        <f>-SUMIFS(BV_Data_An_Prec!$P:$P,BV_Data_An_Prec!$X:$X,"Oui",BV_Data_An_Prec!$U:$U,$B307,BV_Data_An_Prec!$V:$V,$C307)</f>
        <v>174251.78</v>
      </c>
      <c r="P307" s="204">
        <f t="shared" si="167"/>
        <v>0.28202116500617669</v>
      </c>
      <c r="Q307" s="174">
        <f>-SUMIFS(BV_Data_An_Prec!$P:$P,BV_Data_An_Prec!$U:$U,$B307,BV_Data_An_Prec!$V:$V,$C307,BV_Data_An_Prec!$W:$W,$L$2)</f>
        <v>49142.69</v>
      </c>
      <c r="R307" s="318">
        <f t="shared" si="168"/>
        <v>-1</v>
      </c>
      <c r="S307" s="193">
        <f t="shared" si="169"/>
        <v>-49142.69</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4"/>
        <v>PiècesSous-total Pièces et Acc.</v>
      </c>
      <c r="B308" s="24" t="s">
        <v>175</v>
      </c>
      <c r="C308" s="321" t="s">
        <v>188</v>
      </c>
      <c r="D308" s="192">
        <f>D303+D306+D307</f>
        <v>3842545.1810901458</v>
      </c>
      <c r="E308" s="322">
        <f>IF(D308&lt;=0,0,F308/D308)</f>
        <v>0.28286867747424882</v>
      </c>
      <c r="F308" s="323">
        <f t="shared" ref="F308" si="170">F303+F306+F307</f>
        <v>1086935.6735100176</v>
      </c>
      <c r="G308" s="325">
        <f>G303+G306+G307</f>
        <v>3842545.1810901458</v>
      </c>
      <c r="H308" s="322">
        <f>IF(G308&lt;=0,0,I308/G308)</f>
        <v>0.28286867747424882</v>
      </c>
      <c r="I308" s="323">
        <f t="shared" ref="I308" si="171">I303+I306+I307</f>
        <v>1086935.6735100176</v>
      </c>
      <c r="J308" s="325">
        <f t="shared" ref="J308" si="172">J303+J306+J307</f>
        <v>0</v>
      </c>
      <c r="K308" s="322">
        <f t="shared" si="164"/>
        <v>0</v>
      </c>
      <c r="L308" s="323">
        <f>L303+L306+L307</f>
        <v>0</v>
      </c>
      <c r="M308" s="324">
        <f t="shared" si="165"/>
        <v>-1</v>
      </c>
      <c r="N308" s="323">
        <f t="shared" si="166"/>
        <v>-1086935.6735100176</v>
      </c>
      <c r="O308" s="325">
        <f t="shared" ref="O308" si="173">O303+O306+O307</f>
        <v>3488962.1799999997</v>
      </c>
      <c r="P308" s="322">
        <f t="shared" si="167"/>
        <v>0.2801697896306804</v>
      </c>
      <c r="Q308" s="323">
        <f>Q303+Q306+Q307</f>
        <v>977501.8</v>
      </c>
      <c r="R308" s="324">
        <f>IF(O308=0,0,(J308-O308)/O308)</f>
        <v>-1</v>
      </c>
      <c r="S308" s="194">
        <f t="shared" si="169"/>
        <v>-977501.8</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4"/>
        <v>Pièces</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4"/>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4"/>
        <v>PiècesAutostock</v>
      </c>
      <c r="B311" s="24" t="s">
        <v>175</v>
      </c>
      <c r="C311" s="320" t="s">
        <v>189</v>
      </c>
      <c r="D311" s="184">
        <f>+SUMPRODUCT(('Budget original'!$A$8:$A$500=$A311)*('Budget original'!$C$3:$AO$3=D$2),'Budget original'!$C$8:$AO$500)</f>
        <v>0</v>
      </c>
      <c r="E311" s="189">
        <f t="shared" ref="E311" si="174">IF(D311=0,0,F311/D311)</f>
        <v>0</v>
      </c>
      <c r="F311" s="190">
        <f>+SUMPRODUCT(('Budget original'!$A$8:$A$500=$A311)*('Budget original'!$C$3:$AO$3=F$2),'Budget original'!$C$8:$AO$500)</f>
        <v>0</v>
      </c>
      <c r="G311" s="205">
        <f>+SUMPRODUCT(('Budget révisé'!$A$8:$A$500=$A311)*('Budget révisé'!$C$3:$AO$3=G$2),'Budget révisé'!$C$8:$AO$500)</f>
        <v>0</v>
      </c>
      <c r="H311" s="189">
        <f t="shared" ref="H311" si="175">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4"/>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4"/>
        <v>PiècesTotal Dépt. Pièces</v>
      </c>
      <c r="B313" s="24" t="s">
        <v>175</v>
      </c>
      <c r="C313" s="263" t="s">
        <v>190</v>
      </c>
      <c r="D313" s="26">
        <f>D308+D311</f>
        <v>3842545.1810901458</v>
      </c>
      <c r="E313" s="71">
        <f>IF(D313&lt;=0,0,F313/D313)</f>
        <v>0.28286867747424882</v>
      </c>
      <c r="F313" s="28">
        <f t="shared" ref="F313" si="176">F308+F311</f>
        <v>1086935.6735100176</v>
      </c>
      <c r="G313" s="29">
        <f>G308+G311</f>
        <v>3842545.1810901458</v>
      </c>
      <c r="H313" s="71">
        <f>IF(G313&lt;=0,0,I313/G313)</f>
        <v>0.28286867747424882</v>
      </c>
      <c r="I313" s="28">
        <f t="shared" ref="I313" si="177">I308+I311</f>
        <v>1086935.6735100176</v>
      </c>
      <c r="J313" s="29">
        <f t="shared" ref="J313" si="178">J308+J311</f>
        <v>0</v>
      </c>
      <c r="K313" s="71">
        <f>IF(J313&lt;=0,0,L313/J313)</f>
        <v>0</v>
      </c>
      <c r="L313" s="28">
        <f>L308+L311</f>
        <v>0</v>
      </c>
      <c r="M313" s="72">
        <f>(+J313-G313)/G313</f>
        <v>-1</v>
      </c>
      <c r="N313" s="73">
        <f>L313-I313</f>
        <v>-1086935.6735100176</v>
      </c>
      <c r="O313" s="29">
        <f t="shared" ref="O313" si="179">O308+O311</f>
        <v>3488962.1799999997</v>
      </c>
      <c r="P313" s="71">
        <f>IF(O313&lt;=0,0,Q313/O313)</f>
        <v>0.2801697896306804</v>
      </c>
      <c r="Q313" s="28">
        <f>Q308+Q311</f>
        <v>977501.8</v>
      </c>
      <c r="R313" s="72">
        <f>IF(O313=0,0,(J313-O313)/O313)</f>
        <v>-1</v>
      </c>
      <c r="S313" s="264">
        <f>L313-Q313</f>
        <v>-977501.8</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4"/>
        <v>Pièces</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4"/>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4"/>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4"/>
        <v>PiècesSalaires cadres</v>
      </c>
      <c r="B317" s="24" t="s">
        <v>175</v>
      </c>
      <c r="C317" s="274" t="s">
        <v>112</v>
      </c>
      <c r="D317" s="227"/>
      <c r="E317" s="227"/>
      <c r="F317" s="225">
        <f>+SUMPRODUCT(('Budget original'!$A$8:$A$500=$A317)*('Budget original'!$C$3:$AO$3=F$2),'Budget original'!$C$8:$AO$500)</f>
        <v>25590.455172413789</v>
      </c>
      <c r="G317" s="221"/>
      <c r="H317" s="227"/>
      <c r="I317" s="225">
        <f>+SUMPRODUCT(('Budget révisé'!$A$8:$A$500=$A317)*('Budget révisé'!$C$3:$AO$3=I$2),'Budget révisé'!$C$8:$AO$500)</f>
        <v>25590.455172413789</v>
      </c>
      <c r="J317" s="221"/>
      <c r="K317" s="227"/>
      <c r="L317" s="275">
        <f>SUMIFS(BV_Data_An_Cour!$Q:$Q,BV_Data_An_Cour!$V:$V,$B317,BV_Data_An_Cour!$W:$W,$C317,BV_Data_An_Cour!$X:$X,$L$2)</f>
        <v>0</v>
      </c>
      <c r="M317" s="221"/>
      <c r="N317" s="226">
        <f t="shared" ref="N317:N342" si="180">L317-I317</f>
        <v>-25590.455172413789</v>
      </c>
      <c r="O317" s="221"/>
      <c r="P317" s="227"/>
      <c r="Q317" s="275">
        <f>SUMIFS(BV_Data_An_Prec!$P:$P,BV_Data_An_Prec!$U:$U,$B317,BV_Data_An_Prec!$V:$V,$C317,BV_Data_An_Prec!$W:$W,$L$2)</f>
        <v>56650.55</v>
      </c>
      <c r="R317" s="221"/>
      <c r="S317" s="506">
        <f>L317-Q317</f>
        <v>-56650.55</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4"/>
        <v>PiècesSalaires commis</v>
      </c>
      <c r="B318" s="24" t="s">
        <v>175</v>
      </c>
      <c r="C318" s="276" t="s">
        <v>113</v>
      </c>
      <c r="D318" s="256"/>
      <c r="E318" s="227"/>
      <c r="F318" s="238">
        <f>+SUMPRODUCT(('Budget original'!$A$8:$A$500=$A318)*('Budget original'!$C$3:$AO$3=F$2),'Budget original'!$C$8:$AO$500)</f>
        <v>42878.484845241386</v>
      </c>
      <c r="G318" s="277"/>
      <c r="H318" s="227"/>
      <c r="I318" s="238">
        <f>+SUMPRODUCT(('Budget révisé'!$A$8:$A$500=$A318)*('Budget révisé'!$C$3:$AO$3=I$2),'Budget révisé'!$C$8:$AO$500)</f>
        <v>42878.484845241386</v>
      </c>
      <c r="J318" s="221"/>
      <c r="K318" s="227"/>
      <c r="L318" s="275">
        <f>SUMIFS(BV_Data_An_Cour!$Q:$Q,BV_Data_An_Cour!$V:$V,$B318,BV_Data_An_Cour!$W:$W,$C318,BV_Data_An_Cour!$X:$X,$L$2)</f>
        <v>0</v>
      </c>
      <c r="M318" s="221"/>
      <c r="N318" s="226">
        <f t="shared" si="180"/>
        <v>-42878.484845241386</v>
      </c>
      <c r="O318" s="221"/>
      <c r="P318" s="227"/>
      <c r="Q318" s="275">
        <f>SUMIFS(BV_Data_An_Prec!$P:$P,BV_Data_An_Prec!$U:$U,$B318,BV_Data_An_Prec!$V:$V,$C318,BV_Data_An_Prec!$W:$W,$L$2)</f>
        <v>40611.56</v>
      </c>
      <c r="R318" s="221"/>
      <c r="S318" s="278">
        <f t="shared" ref="S318:S342" si="181">L318-Q318</f>
        <v>-40611.56</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4"/>
        <v>PiècesSalaires autres</v>
      </c>
      <c r="B319" s="24" t="s">
        <v>175</v>
      </c>
      <c r="C319" s="274" t="s">
        <v>114</v>
      </c>
      <c r="D319" s="279"/>
      <c r="E319" s="280"/>
      <c r="F319" s="225">
        <f>+SUMPRODUCT(('Budget original'!$A$8:$A$500=$A319)*('Budget original'!$C$3:$AO$3=F$2),'Budget original'!$C$8:$AO$500)</f>
        <v>241306.42425452874</v>
      </c>
      <c r="G319" s="281"/>
      <c r="H319" s="280"/>
      <c r="I319" s="225">
        <f>+SUMPRODUCT(('Budget révisé'!$A$8:$A$500=$A319)*('Budget révisé'!$C$3:$AO$3=I$2),'Budget révisé'!$C$8:$AO$500)</f>
        <v>241306.42425452874</v>
      </c>
      <c r="J319" s="282"/>
      <c r="K319" s="280"/>
      <c r="L319" s="239">
        <f>SUMIFS(BV_Data_An_Cour!$Q:$Q,BV_Data_An_Cour!$V:$V,$B319,BV_Data_An_Cour!$W:$W,$C319,BV_Data_An_Cour!$X:$X,$L$2)</f>
        <v>0</v>
      </c>
      <c r="M319" s="282"/>
      <c r="N319" s="283">
        <f t="shared" si="180"/>
        <v>-241306.42425452874</v>
      </c>
      <c r="O319" s="282"/>
      <c r="P319" s="280"/>
      <c r="Q319" s="239">
        <f>SUMIFS(BV_Data_An_Prec!$P:$P,BV_Data_An_Prec!$U:$U,$B319,BV_Data_An_Prec!$V:$V,$C319,BV_Data_An_Prec!$W:$W,$L$2)</f>
        <v>200054.24</v>
      </c>
      <c r="R319" s="282"/>
      <c r="S319" s="284">
        <f t="shared" si="181"/>
        <v>-200054.24</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4"/>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0"/>
        <v>0</v>
      </c>
      <c r="O320" s="221"/>
      <c r="P320" s="227"/>
      <c r="Q320" s="275">
        <f>SUMIFS(BV_Data_An_Prec!$P:$P,BV_Data_An_Prec!$U:$U,$B320,BV_Data_An_Prec!$V:$V,$C320,BV_Data_An_Prec!$W:$W,$L$2)</f>
        <v>0</v>
      </c>
      <c r="R320" s="221"/>
      <c r="S320" s="278">
        <f t="shared" si="181"/>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2">+B321&amp;C321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3">L321-I321</f>
        <v>0</v>
      </c>
      <c r="O321" s="221"/>
      <c r="P321" s="227"/>
      <c r="Q321" s="275">
        <f>SUMIFS(BV_Data_An_Prec!$P:$P,BV_Data_An_Prec!$U:$U,$B321,BV_Data_An_Prec!$V:$V,$C321,BV_Data_An_Prec!$W:$W,$L$2)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2"/>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3"/>
        <v>0</v>
      </c>
      <c r="O322" s="221"/>
      <c r="P322" s="227"/>
      <c r="Q322" s="275">
        <f>SUMIFS(BV_Data_An_Prec!$P:$P,BV_Data_An_Prec!$U:$U,$B322,BV_Data_An_Prec!$V:$V,$C322,BV_Data_An_Prec!$W:$W,$L$2)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2"/>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3"/>
        <v>0</v>
      </c>
      <c r="O323" s="221"/>
      <c r="P323" s="227"/>
      <c r="Q323" s="275">
        <f>SUMIFS(BV_Data_An_Prec!$P:$P,BV_Data_An_Prec!$U:$U,$B323,BV_Data_An_Prec!$V:$V,$C323,BV_Data_An_Prec!$W:$W,$L$2)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4"/>
        <v>PiècesSalaires en absences</v>
      </c>
      <c r="B324" s="24" t="s">
        <v>175</v>
      </c>
      <c r="C324" s="276" t="s">
        <v>116</v>
      </c>
      <c r="D324" s="256"/>
      <c r="E324" s="227"/>
      <c r="F324" s="238">
        <f>+SUMPRODUCT(('Budget original'!$A$8:$A$500=$A324)*('Budget original'!$C$3:$AO$3=F$2),'Budget original'!$C$8:$AO$500)</f>
        <v>38768.933721967158</v>
      </c>
      <c r="G324" s="277"/>
      <c r="H324" s="227"/>
      <c r="I324" s="238">
        <f>+SUMPRODUCT(('Budget révisé'!$A$8:$A$500=$A324)*('Budget révisé'!$C$3:$AO$3=I$2),'Budget révisé'!$C$8:$AO$500)</f>
        <v>38768.933721967158</v>
      </c>
      <c r="J324" s="221"/>
      <c r="K324" s="227"/>
      <c r="L324" s="275">
        <f>SUMIFS(BV_Data_An_Cour!$Q:$Q,BV_Data_An_Cour!$V:$V,$B324,BV_Data_An_Cour!$W:$W,$C324,BV_Data_An_Cour!$X:$X,$L$2)</f>
        <v>0</v>
      </c>
      <c r="M324" s="221"/>
      <c r="N324" s="226">
        <f t="shared" si="180"/>
        <v>-38768.933721967158</v>
      </c>
      <c r="O324" s="221"/>
      <c r="P324" s="227"/>
      <c r="Q324" s="275">
        <f>SUMIFS(BV_Data_An_Prec!$P:$P,BV_Data_An_Prec!$U:$U,$B324,BV_Data_An_Prec!$V:$V,$C324,BV_Data_An_Prec!$W:$W,$L$2)</f>
        <v>31496.25</v>
      </c>
      <c r="R324" s="221"/>
      <c r="S324" s="278">
        <f t="shared" si="181"/>
        <v>-31496.25</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4"/>
        <v>PiècesDéduction à la source</v>
      </c>
      <c r="B325" s="24" t="s">
        <v>175</v>
      </c>
      <c r="C325" s="274" t="s">
        <v>117</v>
      </c>
      <c r="D325" s="279"/>
      <c r="E325" s="280"/>
      <c r="F325" s="225">
        <f>+SUMPRODUCT(('Budget original'!$A$8:$A$500=$A325)*('Budget original'!$C$3:$AO$3=F$2),'Budget original'!$C$8:$AO$500)</f>
        <v>34721.55418584276</v>
      </c>
      <c r="G325" s="281"/>
      <c r="H325" s="280"/>
      <c r="I325" s="225">
        <f>+SUMPRODUCT(('Budget révisé'!$A$8:$A$500=$A325)*('Budget révisé'!$C$3:$AO$3=I$2),'Budget révisé'!$C$8:$AO$500)</f>
        <v>34721.55418584276</v>
      </c>
      <c r="J325" s="282"/>
      <c r="K325" s="280"/>
      <c r="L325" s="239">
        <f>SUMIFS(BV_Data_An_Cour!$Q:$Q,BV_Data_An_Cour!$V:$V,$B325,BV_Data_An_Cour!$W:$W,$C325,BV_Data_An_Cour!$X:$X,$L$2)</f>
        <v>0</v>
      </c>
      <c r="M325" s="282"/>
      <c r="N325" s="283">
        <f t="shared" si="180"/>
        <v>-34721.55418584276</v>
      </c>
      <c r="O325" s="282"/>
      <c r="P325" s="280"/>
      <c r="Q325" s="239">
        <f>SUMIFS(BV_Data_An_Prec!$P:$P,BV_Data_An_Prec!$U:$U,$B325,BV_Data_An_Prec!$V:$V,$C325,BV_Data_An_Prec!$W:$W,$L$2)</f>
        <v>433.77</v>
      </c>
      <c r="R325" s="282"/>
      <c r="S325" s="284">
        <f t="shared" si="181"/>
        <v>-433.77</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4"/>
        <v>PiècesBénéfices marginaux</v>
      </c>
      <c r="B326" s="24" t="s">
        <v>175</v>
      </c>
      <c r="C326" s="274" t="s">
        <v>118</v>
      </c>
      <c r="D326" s="256"/>
      <c r="E326" s="227"/>
      <c r="F326" s="225">
        <f>+SUMPRODUCT(('Budget original'!$A$8:$A$500=$A326)*('Budget original'!$C$3:$AO$3=F$2),'Budget original'!$C$8:$AO$500)</f>
        <v>27572.998912286901</v>
      </c>
      <c r="G326" s="277"/>
      <c r="H326" s="227"/>
      <c r="I326" s="225">
        <f>+SUMPRODUCT(('Budget révisé'!$A$8:$A$500=$A326)*('Budget révisé'!$C$3:$AO$3=I$2),'Budget révisé'!$C$8:$AO$500)</f>
        <v>27572.998912286901</v>
      </c>
      <c r="J326" s="221"/>
      <c r="K326" s="227"/>
      <c r="L326" s="275">
        <f>SUMIFS(BV_Data_An_Cour!$Q:$Q,BV_Data_An_Cour!$V:$V,$B326,BV_Data_An_Cour!$W:$W,$C326,BV_Data_An_Cour!$X:$X,$L$2)</f>
        <v>0</v>
      </c>
      <c r="M326" s="221"/>
      <c r="N326" s="226">
        <f t="shared" si="180"/>
        <v>-27572.998912286901</v>
      </c>
      <c r="O326" s="221"/>
      <c r="P326" s="227"/>
      <c r="Q326" s="275">
        <f>SUMIFS(BV_Data_An_Prec!$P:$P,BV_Data_An_Prec!$U:$U,$B326,BV_Data_An_Prec!$V:$V,$C326,BV_Data_An_Prec!$W:$W,$L$2)</f>
        <v>24048.3</v>
      </c>
      <c r="R326" s="221"/>
      <c r="S326" s="278">
        <f t="shared" si="181"/>
        <v>-24048.3</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4"/>
        <v>PiècesCsst</v>
      </c>
      <c r="B327" s="24" t="s">
        <v>175</v>
      </c>
      <c r="C327" s="274" t="s">
        <v>119</v>
      </c>
      <c r="D327" s="256"/>
      <c r="E327" s="227"/>
      <c r="F327" s="225">
        <f>+SUMPRODUCT(('Budget original'!$A$8:$A$500=$A327)*('Budget original'!$C$3:$AO$3=F$2),'Budget original'!$C$8:$AO$500)</f>
        <v>11233.444001302069</v>
      </c>
      <c r="G327" s="277"/>
      <c r="H327" s="227"/>
      <c r="I327" s="225">
        <f>+SUMPRODUCT(('Budget révisé'!$A$8:$A$500=$A327)*('Budget révisé'!$C$3:$AO$3=I$2),'Budget révisé'!$C$8:$AO$500)</f>
        <v>11233.444001302069</v>
      </c>
      <c r="J327" s="221"/>
      <c r="K327" s="227"/>
      <c r="L327" s="275">
        <f>SUMIFS(BV_Data_An_Cour!$Q:$Q,BV_Data_An_Cour!$V:$V,$B327,BV_Data_An_Cour!$W:$W,$C327,BV_Data_An_Cour!$X:$X,$L$2)</f>
        <v>0</v>
      </c>
      <c r="M327" s="221"/>
      <c r="N327" s="226">
        <f t="shared" si="180"/>
        <v>-11233.444001302069</v>
      </c>
      <c r="O327" s="221"/>
      <c r="P327" s="227"/>
      <c r="Q327" s="275">
        <f>SUMIFS(BV_Data_An_Prec!$P:$P,BV_Data_An_Prec!$U:$U,$B327,BV_Data_An_Prec!$V:$V,$C327,BV_Data_An_Prec!$W:$W,$L$2)</f>
        <v>40291.200000000004</v>
      </c>
      <c r="R327" s="221"/>
      <c r="S327" s="278">
        <f t="shared" si="181"/>
        <v>-40291.200000000004</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4"/>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0"/>
        <v>0</v>
      </c>
      <c r="O328" s="289"/>
      <c r="P328" s="287"/>
      <c r="Q328" s="275">
        <f>SUMIFS(BV_Data_An_Prec!$P:$P,BV_Data_An_Prec!$U:$U,$B328,BV_Data_An_Prec!$V:$V,$C328,BV_Data_An_Prec!$W:$W,$L$2)</f>
        <v>0</v>
      </c>
      <c r="R328" s="289"/>
      <c r="S328" s="291">
        <f t="shared" si="181"/>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4"/>
        <v>PiècesTOTAL PERSONNEL</v>
      </c>
      <c r="B329" s="24" t="s">
        <v>175</v>
      </c>
      <c r="C329" s="292" t="s">
        <v>120</v>
      </c>
      <c r="D329" s="39" t="s">
        <v>111</v>
      </c>
      <c r="E329" s="40">
        <f>F329/F$313</f>
        <v>0.38831395949181974</v>
      </c>
      <c r="F329" s="41">
        <f>+SUM(F317:F328)</f>
        <v>422072.29509358277</v>
      </c>
      <c r="G329" s="42" t="s">
        <v>111</v>
      </c>
      <c r="H329" s="40">
        <f>I329/I$313</f>
        <v>0.38831395949181974</v>
      </c>
      <c r="I329" s="41">
        <f>+SUM(I317:I328)</f>
        <v>422072.29509358277</v>
      </c>
      <c r="J329" s="42" t="s">
        <v>111</v>
      </c>
      <c r="K329" s="40" t="e">
        <f>L329/L$313</f>
        <v>#DIV/0!</v>
      </c>
      <c r="L329" s="41">
        <f>+SUM(L317:L328)</f>
        <v>0</v>
      </c>
      <c r="M329" s="43"/>
      <c r="N329" s="46">
        <f t="shared" si="180"/>
        <v>-422072.29509358277</v>
      </c>
      <c r="O329" s="42" t="s">
        <v>111</v>
      </c>
      <c r="P329" s="40">
        <f>Q329/Q$313</f>
        <v>0.40264464986151427</v>
      </c>
      <c r="Q329" s="41">
        <f>+SUM(Q317:Q328)</f>
        <v>393585.87</v>
      </c>
      <c r="R329" s="43"/>
      <c r="S329" s="293">
        <f t="shared" si="181"/>
        <v>-393585.87</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4"/>
        <v>PiècesPublicité 2</v>
      </c>
      <c r="B330" s="24" t="s">
        <v>175</v>
      </c>
      <c r="C330" s="546" t="s">
        <v>121</v>
      </c>
      <c r="D330" s="295"/>
      <c r="E330" s="172"/>
      <c r="F330" s="173">
        <f>+SUMPRODUCT(('Budget original'!$A$8:$A$500=$A330)*('Budget original'!$C$3:$AO$3=F$2),'Budget original'!$C$8:$AO$500)</f>
        <v>37254.875</v>
      </c>
      <c r="G330" s="296"/>
      <c r="H330" s="172"/>
      <c r="I330" s="173">
        <f>+SUMPRODUCT(('Budget révisé'!$A$8:$A$500=$A330)*('Budget révisé'!$C$3:$AO$3=I$2),'Budget révisé'!$C$8:$AO$500)</f>
        <v>37254.875</v>
      </c>
      <c r="J330" s="297"/>
      <c r="K330" s="172"/>
      <c r="L330" s="275">
        <f>SUMIFS(BV_Data_An_Cour!$Q:$Q,BV_Data_An_Cour!$V:$V,$B330,BV_Data_An_Cour!$W:$W,$C330,BV_Data_An_Cour!$X:$X,$L$2)</f>
        <v>0</v>
      </c>
      <c r="M330" s="297"/>
      <c r="N330" s="298">
        <f t="shared" si="180"/>
        <v>-37254.875</v>
      </c>
      <c r="O330" s="297"/>
      <c r="P330" s="172"/>
      <c r="Q330" s="275">
        <f>SUMIFS(BV_Data_An_Prec!$P:$P,BV_Data_An_Prec!$U:$U,$B330,BV_Data_An_Prec!$V:$V,$C330,BV_Data_An_Prec!$W:$W,$L$2)</f>
        <v>32113.26</v>
      </c>
      <c r="R330" s="297"/>
      <c r="S330" s="193">
        <f t="shared" si="181"/>
        <v>-32113.26</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4"/>
        <v>PiècesService gratuit 2</v>
      </c>
      <c r="B331" s="24" t="s">
        <v>175</v>
      </c>
      <c r="C331" s="299" t="s">
        <v>122</v>
      </c>
      <c r="D331" s="295"/>
      <c r="E331" s="172"/>
      <c r="F331" s="173">
        <f>+SUMPRODUCT(('Budget original'!$A$8:$A$500=$A331)*('Budget original'!$C$3:$AO$3=F$2),'Budget original'!$C$8:$AO$500)</f>
        <v>6332.4948023231664</v>
      </c>
      <c r="G331" s="296"/>
      <c r="H331" s="172"/>
      <c r="I331" s="173">
        <f>+SUMPRODUCT(('Budget révisé'!$A$8:$A$500=$A331)*('Budget révisé'!$C$3:$AO$3=I$2),'Budget révisé'!$C$8:$AO$500)</f>
        <v>6332.4948023231664</v>
      </c>
      <c r="J331" s="297"/>
      <c r="K331" s="172"/>
      <c r="L331" s="174">
        <f>SUMIFS(BV_Data_An_Cour!$Q:$Q,BV_Data_An_Cour!$V:$V,$B331,BV_Data_An_Cour!$W:$W,$C331,BV_Data_An_Cour!$X:$X,$L$2)</f>
        <v>0</v>
      </c>
      <c r="M331" s="297"/>
      <c r="N331" s="298">
        <f t="shared" si="180"/>
        <v>-6332.4948023231664</v>
      </c>
      <c r="O331" s="297"/>
      <c r="P331" s="172"/>
      <c r="Q331" s="174">
        <f>SUMIFS(BV_Data_An_Prec!$P:$P,BV_Data_An_Prec!$U:$U,$B331,BV_Data_An_Prec!$V:$V,$C331,BV_Data_An_Prec!$W:$W,$L$2)</f>
        <v>6361.66</v>
      </c>
      <c r="R331" s="297"/>
      <c r="S331" s="193">
        <f t="shared" si="181"/>
        <v>-6361.66</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4"/>
        <v>PiècesFrais véhicules de cie</v>
      </c>
      <c r="B332" s="24" t="s">
        <v>175</v>
      </c>
      <c r="C332" s="300" t="s">
        <v>123</v>
      </c>
      <c r="D332" s="301"/>
      <c r="E332" s="302"/>
      <c r="F332" s="171">
        <f>+SUMPRODUCT(('Budget original'!$A$8:$A$500=$A332)*('Budget original'!$C$3:$AO$3=F$2),'Budget original'!$C$8:$AO$500)</f>
        <v>4335</v>
      </c>
      <c r="G332" s="303"/>
      <c r="H332" s="302"/>
      <c r="I332" s="171">
        <f>+SUMPRODUCT(('Budget révisé'!$A$8:$A$500=$A332)*('Budget révisé'!$C$3:$AO$3=I$2),'Budget révisé'!$C$8:$AO$500)</f>
        <v>4335</v>
      </c>
      <c r="J332" s="304"/>
      <c r="K332" s="302"/>
      <c r="L332" s="174">
        <f>SUMIFS(BV_Data_An_Cour!$Q:$Q,BV_Data_An_Cour!$V:$V,$B332,BV_Data_An_Cour!$W:$W,$C332,BV_Data_An_Cour!$X:$X,$L$2)</f>
        <v>0</v>
      </c>
      <c r="M332" s="304"/>
      <c r="N332" s="305">
        <f t="shared" si="180"/>
        <v>-4335</v>
      </c>
      <c r="O332" s="304"/>
      <c r="P332" s="302"/>
      <c r="Q332" s="174">
        <f>SUMIFS(BV_Data_An_Prec!$P:$P,BV_Data_An_Prec!$U:$U,$B332,BV_Data_An_Prec!$V:$V,$C332,BV_Data_An_Prec!$W:$W,$L$2)</f>
        <v>3028.05</v>
      </c>
      <c r="R332" s="304"/>
      <c r="S332" s="196">
        <f t="shared" si="181"/>
        <v>-3028.05</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4"/>
        <v>PiècesInformatique</v>
      </c>
      <c r="B333" s="24" t="s">
        <v>175</v>
      </c>
      <c r="C333" s="299" t="s">
        <v>124</v>
      </c>
      <c r="D333" s="295"/>
      <c r="E333" s="172"/>
      <c r="F333" s="173">
        <f>+SUMPRODUCT(('Budget original'!$A$8:$A$500=$A333)*('Budget original'!$C$3:$AO$3=F$2),'Budget original'!$C$8:$AO$500)</f>
        <v>34894.852291666677</v>
      </c>
      <c r="G333" s="296"/>
      <c r="H333" s="172"/>
      <c r="I333" s="173">
        <f>+SUMPRODUCT(('Budget révisé'!$A$8:$A$500=$A333)*('Budget révisé'!$C$3:$AO$3=I$2),'Budget révisé'!$C$8:$AO$500)</f>
        <v>34894.852291666677</v>
      </c>
      <c r="J333" s="297"/>
      <c r="K333" s="172"/>
      <c r="L333" s="175">
        <f>SUMIFS(BV_Data_An_Cour!$Q:$Q,BV_Data_An_Cour!$V:$V,$B333,BV_Data_An_Cour!$W:$W,$C333,BV_Data_An_Cour!$X:$X,$L$2)</f>
        <v>0</v>
      </c>
      <c r="M333" s="297"/>
      <c r="N333" s="298">
        <f t="shared" si="180"/>
        <v>-34894.852291666677</v>
      </c>
      <c r="O333" s="297"/>
      <c r="P333" s="172"/>
      <c r="Q333" s="175">
        <f>SUMIFS(BV_Data_An_Prec!$P:$P,BV_Data_An_Prec!$U:$U,$B333,BV_Data_An_Prec!$V:$V,$C333,BV_Data_An_Prec!$W:$W,$L$2)</f>
        <v>37262.629999999997</v>
      </c>
      <c r="R333" s="297"/>
      <c r="S333" s="193">
        <f t="shared" si="181"/>
        <v>-37262.629999999997</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4"/>
        <v>PiècesFrais de déplacement</v>
      </c>
      <c r="B334" s="24" t="s">
        <v>175</v>
      </c>
      <c r="C334" s="299" t="s">
        <v>125</v>
      </c>
      <c r="D334" s="295"/>
      <c r="E334" s="172"/>
      <c r="F334" s="173">
        <f>+SUMPRODUCT(('Budget original'!$A$8:$A$500=$A334)*('Budget original'!$C$3:$AO$3=F$2),'Budget original'!$C$8:$AO$500)</f>
        <v>6188.6078125000013</v>
      </c>
      <c r="G334" s="296"/>
      <c r="H334" s="172"/>
      <c r="I334" s="173">
        <f>+SUMPRODUCT(('Budget révisé'!$A$8:$A$500=$A334)*('Budget révisé'!$C$3:$AO$3=I$2),'Budget révisé'!$C$8:$AO$500)</f>
        <v>6188.6078125000013</v>
      </c>
      <c r="J334" s="297"/>
      <c r="K334" s="172"/>
      <c r="L334" s="174">
        <f>SUMIFS(BV_Data_An_Cour!$Q:$Q,BV_Data_An_Cour!$V:$V,$B334,BV_Data_An_Cour!$W:$W,$C334,BV_Data_An_Cour!$X:$X,$L$2)</f>
        <v>0</v>
      </c>
      <c r="M334" s="297"/>
      <c r="N334" s="298">
        <f t="shared" si="180"/>
        <v>-6188.6078125000013</v>
      </c>
      <c r="O334" s="297"/>
      <c r="P334" s="172"/>
      <c r="Q334" s="174">
        <f>SUMIFS(BV_Data_An_Prec!$P:$P,BV_Data_An_Prec!$U:$U,$B334,BV_Data_An_Prec!$V:$V,$C334,BV_Data_An_Prec!$W:$W,$L$2)</f>
        <v>3715.94</v>
      </c>
      <c r="R334" s="297"/>
      <c r="S334" s="193">
        <f t="shared" si="181"/>
        <v>-3715.94</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4"/>
        <v>PiècesServices extérieurs</v>
      </c>
      <c r="B335" s="24" t="s">
        <v>175</v>
      </c>
      <c r="C335" s="679" t="s">
        <v>126</v>
      </c>
      <c r="D335" s="301"/>
      <c r="E335" s="302"/>
      <c r="F335" s="171">
        <f>+SUMPRODUCT(('Budget original'!$A$8:$A$500=$A335)*('Budget original'!$C$3:$AO$3=F$2),'Budget original'!$C$8:$AO$500)</f>
        <v>80423.64928888889</v>
      </c>
      <c r="G335" s="303"/>
      <c r="H335" s="302"/>
      <c r="I335" s="171">
        <f>+SUMPRODUCT(('Budget révisé'!$A$8:$A$500=$A335)*('Budget révisé'!$C$3:$AO$3=I$2),'Budget révisé'!$C$8:$AO$500)</f>
        <v>80423.64928888889</v>
      </c>
      <c r="J335" s="304"/>
      <c r="K335" s="302"/>
      <c r="L335" s="399">
        <f>SUMIFS(BV_Data_An_Cour!$Q:$Q,BV_Data_An_Cour!$V:$V,$B335,BV_Data_An_Cour!$W:$W,$C335,BV_Data_An_Cour!$X:$X,$L$2)</f>
        <v>0</v>
      </c>
      <c r="M335" s="304"/>
      <c r="N335" s="305">
        <f t="shared" si="180"/>
        <v>-80423.64928888889</v>
      </c>
      <c r="O335" s="304"/>
      <c r="P335" s="302"/>
      <c r="Q335" s="399">
        <f>SUMIFS(BV_Data_An_Prec!$P:$P,BV_Data_An_Prec!$U:$U,$B335,BV_Data_An_Prec!$V:$V,$C335,BV_Data_An_Prec!$W:$W,$L$2)</f>
        <v>59218.01</v>
      </c>
      <c r="R335" s="304"/>
      <c r="S335" s="196">
        <f t="shared" si="181"/>
        <v>-59218.01</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5">+B336&amp;C336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6">L336-I336</f>
        <v>0</v>
      </c>
      <c r="O336" s="297"/>
      <c r="P336" s="172"/>
      <c r="Q336" s="174">
        <f>SUMIFS(BV_Data_An_Prec!$P:$P,BV_Data_An_Prec!$U:$U,$B336,BV_Data_An_Prec!$V:$V,$C336,BV_Data_An_Prec!$W:$W,$L$2)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4"/>
        <v>PiècesFournitures autres</v>
      </c>
      <c r="B337" s="24" t="s">
        <v>175</v>
      </c>
      <c r="C337" s="299" t="s">
        <v>127</v>
      </c>
      <c r="D337" s="295"/>
      <c r="E337" s="172"/>
      <c r="F337" s="173">
        <f>+SUMPRODUCT(('Budget original'!$A$8:$A$500=$A337)*('Budget original'!$C$3:$AO$3=F$2),'Budget original'!$C$8:$AO$500)</f>
        <v>855.71216443970923</v>
      </c>
      <c r="G337" s="296"/>
      <c r="H337" s="172"/>
      <c r="I337" s="173">
        <f>+SUMPRODUCT(('Budget révisé'!$A$8:$A$500=$A337)*('Budget révisé'!$C$3:$AO$3=I$2),'Budget révisé'!$C$8:$AO$500)</f>
        <v>855.71216443970923</v>
      </c>
      <c r="J337" s="297"/>
      <c r="K337" s="172"/>
      <c r="L337" s="174">
        <f>SUMIFS(BV_Data_An_Cour!$Q:$Q,BV_Data_An_Cour!$V:$V,$B337,BV_Data_An_Cour!$W:$W,$C337,BV_Data_An_Cour!$X:$X,$L$2)</f>
        <v>0</v>
      </c>
      <c r="M337" s="297"/>
      <c r="N337" s="298">
        <f t="shared" si="180"/>
        <v>-855.71216443970923</v>
      </c>
      <c r="O337" s="297"/>
      <c r="P337" s="172"/>
      <c r="Q337" s="174">
        <f>SUMIFS(BV_Data_An_Prec!$P:$P,BV_Data_An_Prec!$U:$U,$B337,BV_Data_An_Prec!$V:$V,$C337,BV_Data_An_Prec!$W:$W,$L$2)</f>
        <v>1414.38</v>
      </c>
      <c r="R337" s="297"/>
      <c r="S337" s="193">
        <f t="shared" si="181"/>
        <v>-1414.38</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4"/>
        <v>PiècesUniformes</v>
      </c>
      <c r="B338" s="24" t="s">
        <v>175</v>
      </c>
      <c r="C338" s="299" t="s">
        <v>128</v>
      </c>
      <c r="D338" s="295"/>
      <c r="E338" s="172"/>
      <c r="F338" s="173">
        <f>+SUMPRODUCT(('Budget original'!$A$8:$A$500=$A338)*('Budget original'!$C$3:$AO$3=F$2),'Budget original'!$C$8:$AO$500)</f>
        <v>454.7029494085304</v>
      </c>
      <c r="G338" s="296"/>
      <c r="H338" s="172"/>
      <c r="I338" s="173">
        <f>+SUMPRODUCT(('Budget révisé'!$A$8:$A$500=$A338)*('Budget révisé'!$C$3:$AO$3=I$2),'Budget révisé'!$C$8:$AO$500)</f>
        <v>454.7029494085304</v>
      </c>
      <c r="J338" s="297"/>
      <c r="K338" s="172"/>
      <c r="L338" s="174">
        <f>SUMIFS(BV_Data_An_Cour!$Q:$Q,BV_Data_An_Cour!$V:$V,$B338,BV_Data_An_Cour!$W:$W,$C338,BV_Data_An_Cour!$X:$X,$L$2)</f>
        <v>0</v>
      </c>
      <c r="M338" s="297"/>
      <c r="N338" s="298">
        <f t="shared" si="180"/>
        <v>-454.7029494085304</v>
      </c>
      <c r="O338" s="297"/>
      <c r="P338" s="172"/>
      <c r="Q338" s="174">
        <f>SUMIFS(BV_Data_An_Prec!$P:$P,BV_Data_An_Prec!$U:$U,$B338,BV_Data_An_Prec!$V:$V,$C338,BV_Data_An_Prec!$W:$W,$L$2)</f>
        <v>0</v>
      </c>
      <c r="R338" s="297"/>
      <c r="S338" s="193">
        <f t="shared" si="181"/>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4"/>
        <v>PiècesPapeterie</v>
      </c>
      <c r="B339" s="24" t="s">
        <v>175</v>
      </c>
      <c r="C339" s="299" t="s">
        <v>129</v>
      </c>
      <c r="D339" s="295"/>
      <c r="E339" s="172"/>
      <c r="F339" s="173">
        <f>+SUMPRODUCT(('Budget original'!$A$8:$A$500=$A339)*('Budget original'!$C$3:$AO$3=F$2),'Budget original'!$C$8:$AO$500)</f>
        <v>5100.5025000000014</v>
      </c>
      <c r="G339" s="296"/>
      <c r="H339" s="172"/>
      <c r="I339" s="173">
        <f>+SUMPRODUCT(('Budget révisé'!$A$8:$A$500=$A339)*('Budget révisé'!$C$3:$AO$3=I$2),'Budget révisé'!$C$8:$AO$500)</f>
        <v>5100.5025000000014</v>
      </c>
      <c r="J339" s="297"/>
      <c r="K339" s="172"/>
      <c r="L339" s="548">
        <f>SUMIFS(BV_Data_An_Cour!$Q:$Q,BV_Data_An_Cour!$V:$V,$B339,BV_Data_An_Cour!$W:$W,$C339,BV_Data_An_Cour!$X:$X,$L$2)</f>
        <v>0</v>
      </c>
      <c r="M339" s="297"/>
      <c r="N339" s="298">
        <f t="shared" si="180"/>
        <v>-5100.5025000000014</v>
      </c>
      <c r="O339" s="297"/>
      <c r="P339" s="172"/>
      <c r="Q339" s="548">
        <f>SUMIFS(BV_Data_An_Prec!$P:$P,BV_Data_An_Prec!$U:$U,$B339,BV_Data_An_Prec!$V:$V,$C339,BV_Data_An_Prec!$W:$W,$L$2)</f>
        <v>4837.1099999999997</v>
      </c>
      <c r="R339" s="297"/>
      <c r="S339" s="193">
        <f t="shared" si="181"/>
        <v>-4837.1099999999997</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4"/>
        <v>PiècesTéléphone</v>
      </c>
      <c r="B340" s="24" t="s">
        <v>175</v>
      </c>
      <c r="C340" s="299" t="s">
        <v>130</v>
      </c>
      <c r="D340" s="295"/>
      <c r="E340" s="172"/>
      <c r="F340" s="173">
        <f>+SUMPRODUCT(('Budget original'!$A$8:$A$500=$A340)*('Budget original'!$C$3:$AO$3=F$2),'Budget original'!$C$8:$AO$500)</f>
        <v>2355.1916145833334</v>
      </c>
      <c r="G340" s="296"/>
      <c r="H340" s="172"/>
      <c r="I340" s="173">
        <f>+SUMPRODUCT(('Budget révisé'!$A$8:$A$500=$A340)*('Budget révisé'!$C$3:$AO$3=I$2),'Budget révisé'!$C$8:$AO$500)</f>
        <v>2355.1916145833334</v>
      </c>
      <c r="J340" s="297"/>
      <c r="K340" s="172"/>
      <c r="L340" s="174">
        <f>SUMIFS(BV_Data_An_Cour!$Q:$Q,BV_Data_An_Cour!$V:$V,$B340,BV_Data_An_Cour!$W:$W,$C340,BV_Data_An_Cour!$X:$X,$L$2)</f>
        <v>0</v>
      </c>
      <c r="M340" s="297"/>
      <c r="N340" s="298">
        <f t="shared" si="180"/>
        <v>-2355.1916145833334</v>
      </c>
      <c r="O340" s="297"/>
      <c r="P340" s="172"/>
      <c r="Q340" s="174">
        <f>SUMIFS(BV_Data_An_Prec!$P:$P,BV_Data_An_Prec!$U:$U,$B340,BV_Data_An_Prec!$V:$V,$C340,BV_Data_An_Prec!$W:$W,$L$2)</f>
        <v>1525.04</v>
      </c>
      <c r="R340" s="297"/>
      <c r="S340" s="193">
        <f t="shared" si="181"/>
        <v>-1525.04</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4"/>
        <v>PiècesFrais postaux</v>
      </c>
      <c r="B341" s="24" t="s">
        <v>175</v>
      </c>
      <c r="C341" s="299" t="s">
        <v>131</v>
      </c>
      <c r="D341" s="295"/>
      <c r="E341" s="172"/>
      <c r="F341" s="173">
        <f>+SUMPRODUCT(('Budget original'!$A$8:$A$500=$A341)*('Budget original'!$C$3:$AO$3=F$2),'Budget original'!$C$8:$AO$500)</f>
        <v>1257.1646354166662</v>
      </c>
      <c r="G341" s="296"/>
      <c r="H341" s="172"/>
      <c r="I341" s="173">
        <f>+SUMPRODUCT(('Budget révisé'!$A$8:$A$500=$A341)*('Budget révisé'!$C$3:$AO$3=I$2),'Budget révisé'!$C$8:$AO$500)</f>
        <v>1257.1646354166662</v>
      </c>
      <c r="J341" s="297"/>
      <c r="K341" s="172"/>
      <c r="L341" s="275">
        <f>SUMIFS(BV_Data_An_Cour!$Q:$Q,BV_Data_An_Cour!$V:$V,$B341,BV_Data_An_Cour!$W:$W,$C341,BV_Data_An_Cour!$X:$X,$L$2)</f>
        <v>0</v>
      </c>
      <c r="M341" s="297"/>
      <c r="N341" s="298">
        <f t="shared" si="180"/>
        <v>-1257.1646354166662</v>
      </c>
      <c r="O341" s="297"/>
      <c r="P341" s="172"/>
      <c r="Q341" s="174">
        <f>SUMIFS(BV_Data_An_Prec!$P:$P,BV_Data_An_Prec!$U:$U,$B341,BV_Data_An_Prec!$V:$V,$C341,BV_Data_An_Prec!$W:$W,$L$2)</f>
        <v>267.92</v>
      </c>
      <c r="R341" s="297"/>
      <c r="S341" s="193">
        <f t="shared" si="181"/>
        <v>-267.92</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4"/>
        <v>PiècesDivers</v>
      </c>
      <c r="B342" s="24" t="s">
        <v>175</v>
      </c>
      <c r="C342" s="299" t="s">
        <v>132</v>
      </c>
      <c r="D342" s="295"/>
      <c r="E342" s="172"/>
      <c r="F342" s="173">
        <f>+SUMPRODUCT(('Budget original'!$A$8:$A$500=$A342)*('Budget original'!$C$3:$AO$3=F$2),'Budget original'!$C$8:$AO$500)</f>
        <v>6064.3249479166652</v>
      </c>
      <c r="G342" s="296"/>
      <c r="H342" s="172"/>
      <c r="I342" s="173">
        <f>+SUMPRODUCT(('Budget révisé'!$A$8:$A$500=$A342)*('Budget révisé'!$C$3:$AO$3=I$2),'Budget révisé'!$C$8:$AO$500)</f>
        <v>6064.3249479166652</v>
      </c>
      <c r="J342" s="297"/>
      <c r="K342" s="172"/>
      <c r="L342" s="275">
        <f>SUMIFS(BV_Data_An_Cour!$Q:$Q,BV_Data_An_Cour!$V:$V,$B342,BV_Data_An_Cour!$W:$W,$C342,BV_Data_An_Cour!$X:$X,$L$2)</f>
        <v>0</v>
      </c>
      <c r="M342" s="297"/>
      <c r="N342" s="298">
        <f t="shared" si="180"/>
        <v>-6064.3249479166652</v>
      </c>
      <c r="O342" s="297"/>
      <c r="P342" s="172"/>
      <c r="Q342" s="174">
        <f>SUMIFS(BV_Data_An_Prec!$P:$P,BV_Data_An_Prec!$U:$U,$B342,BV_Data_An_Prec!$V:$V,$C342,BV_Data_An_Prec!$W:$W,$L$2)</f>
        <v>5762.92</v>
      </c>
      <c r="R342" s="297"/>
      <c r="S342" s="193">
        <f t="shared" si="181"/>
        <v>-5762.92</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8">+B343&amp;C343</f>
        <v>PiècesFormation</v>
      </c>
      <c r="B343" s="24" t="s">
        <v>175</v>
      </c>
      <c r="C343" s="299" t="s">
        <v>133</v>
      </c>
      <c r="D343" s="295"/>
      <c r="E343" s="172"/>
      <c r="F343" s="173">
        <f>+SUMPRODUCT(('Budget original'!$A$8:$A$500=$A343)*('Budget original'!$C$3:$AO$3=F$2),'Budget original'!$C$8:$AO$500)</f>
        <v>9009.8145833333347</v>
      </c>
      <c r="G343" s="296"/>
      <c r="H343" s="172"/>
      <c r="I343" s="173">
        <f>+SUMPRODUCT(('Budget révisé'!$A$8:$A$500=$A343)*('Budget révisé'!$C$3:$AO$3=I$2),'Budget révisé'!$C$8:$AO$500)</f>
        <v>9009.8145833333347</v>
      </c>
      <c r="J343" s="297"/>
      <c r="K343" s="172"/>
      <c r="L343" s="275">
        <f>SUMIFS(BV_Data_An_Cour!$Q:$Q,BV_Data_An_Cour!$V:$V,$B343,BV_Data_An_Cour!$W:$W,$C343,BV_Data_An_Cour!$X:$X,$L$2)</f>
        <v>0</v>
      </c>
      <c r="M343" s="297"/>
      <c r="N343" s="298">
        <f t="shared" ref="N343:N347" si="189">L343-I343</f>
        <v>-9009.8145833333347</v>
      </c>
      <c r="O343" s="297"/>
      <c r="P343" s="172"/>
      <c r="Q343" s="174">
        <f>SUMIFS(BV_Data_An_Prec!$P:$P,BV_Data_An_Prec!$U:$U,$B343,BV_Data_An_Prec!$V:$V,$C343,BV_Data_An_Prec!$W:$W,$L$2)</f>
        <v>471.4</v>
      </c>
      <c r="R343" s="297"/>
      <c r="S343" s="193">
        <f t="shared" ref="S343:S347" si="190">L343-Q343</f>
        <v>-471.4</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8"/>
        <v>PiècesFrais bancaires</v>
      </c>
      <c r="B344" s="24" t="s">
        <v>175</v>
      </c>
      <c r="C344" s="299" t="s">
        <v>134</v>
      </c>
      <c r="D344" s="295"/>
      <c r="E344" s="172"/>
      <c r="F344" s="173">
        <f>+SUMPRODUCT(('Budget original'!$A$8:$A$500=$A344)*('Budget original'!$C$3:$AO$3=F$2),'Budget original'!$C$8:$AO$500)</f>
        <v>16901.654733228064</v>
      </c>
      <c r="G344" s="296"/>
      <c r="H344" s="172"/>
      <c r="I344" s="173">
        <f>+SUMPRODUCT(('Budget révisé'!$A$8:$A$500=$A344)*('Budget révisé'!$C$3:$AO$3=I$2),'Budget révisé'!$C$8:$AO$500)</f>
        <v>16901.654733228064</v>
      </c>
      <c r="J344" s="297"/>
      <c r="K344" s="172"/>
      <c r="L344" s="961">
        <f>AF447*W7</f>
        <v>0</v>
      </c>
      <c r="M344" s="297"/>
      <c r="N344" s="298">
        <f t="shared" si="189"/>
        <v>-16901.654733228064</v>
      </c>
      <c r="O344" s="297"/>
      <c r="P344" s="172"/>
      <c r="Q344" s="174">
        <f>AL447*W7</f>
        <v>13393.358</v>
      </c>
      <c r="R344" s="297"/>
      <c r="S344" s="193">
        <f t="shared" si="190"/>
        <v>-13393.358</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8"/>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89"/>
        <v>0</v>
      </c>
      <c r="O345" s="297"/>
      <c r="P345" s="172"/>
      <c r="Q345" s="174">
        <f>SUMIFS(BV_Data_An_Prec!$P:$P,BV_Data_An_Prec!$U:$U,$B345,BV_Data_An_Prec!$V:$V,$C345,BV_Data_An_Prec!$W:$W,$L$2)</f>
        <v>0</v>
      </c>
      <c r="R345" s="297"/>
      <c r="S345" s="193">
        <f t="shared" si="190"/>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8"/>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89"/>
        <v>0</v>
      </c>
      <c r="O346" s="297"/>
      <c r="P346" s="172"/>
      <c r="Q346" s="174">
        <f>SUMIFS(BV_Data_An_Prec!$P:$P,BV_Data_An_Prec!$U:$U,$B346,BV_Data_An_Prec!$V:$V,$C346,BV_Data_An_Prec!$W:$W,$L$2)</f>
        <v>0</v>
      </c>
      <c r="R346" s="297"/>
      <c r="S346" s="193">
        <f t="shared" si="190"/>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1">+B347&amp;C347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89"/>
        <v>0</v>
      </c>
      <c r="O347" s="297"/>
      <c r="P347" s="172"/>
      <c r="Q347" s="174">
        <f>SUMIFS(BV_Data_An_Prec!$P:$P,BV_Data_An_Prec!$U:$U,$B347,BV_Data_An_Prec!$V:$V,$C347,BV_Data_An_Prec!$W:$W,$L$2)</f>
        <v>0</v>
      </c>
      <c r="R347" s="297"/>
      <c r="S347" s="193">
        <f t="shared" si="190"/>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0.1945179944650666</v>
      </c>
      <c r="F348" s="41">
        <f>+SUM(F330:F347)</f>
        <v>211428.54732370502</v>
      </c>
      <c r="G348" s="42" t="s">
        <v>111</v>
      </c>
      <c r="H348" s="40">
        <f>I348/I$313</f>
        <v>0.1945179944650666</v>
      </c>
      <c r="I348" s="41">
        <f>+SUM(I330:I347)</f>
        <v>211428.54732370502</v>
      </c>
      <c r="J348" s="42" t="s">
        <v>111</v>
      </c>
      <c r="K348" s="40" t="e">
        <f>L348/L$313</f>
        <v>#DIV/0!</v>
      </c>
      <c r="L348" s="41">
        <f>+SUM(L330:L347)</f>
        <v>0</v>
      </c>
      <c r="M348" s="44"/>
      <c r="N348" s="41">
        <f>+SUM(N330:N347)</f>
        <v>-211428.54732370502</v>
      </c>
      <c r="O348" s="42" t="s">
        <v>111</v>
      </c>
      <c r="P348" s="40">
        <f>Q348/Q$313</f>
        <v>0.17326993975867874</v>
      </c>
      <c r="Q348" s="41">
        <f>+SUM(Q330:Q347)</f>
        <v>169371.67800000004</v>
      </c>
      <c r="R348" s="44"/>
      <c r="S348" s="310">
        <f>+SUM(S330:S347)</f>
        <v>-169371.67800000004</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0.58283195395688625</v>
      </c>
      <c r="F350" s="41">
        <f>F329+F348</f>
        <v>633500.84241728776</v>
      </c>
      <c r="G350" s="42" t="s">
        <v>111</v>
      </c>
      <c r="H350" s="40">
        <f>I350/I$313</f>
        <v>0.58283195395688625</v>
      </c>
      <c r="I350" s="41">
        <f>I329+I348</f>
        <v>633500.84241728776</v>
      </c>
      <c r="J350" s="42" t="s">
        <v>111</v>
      </c>
      <c r="K350" s="40" t="e">
        <f>L350/L$313</f>
        <v>#DIV/0!</v>
      </c>
      <c r="L350" s="41">
        <f>L329+L348</f>
        <v>0</v>
      </c>
      <c r="M350" s="44"/>
      <c r="N350" s="46">
        <f t="shared" ref="N350:N352" si="192">L350-I350</f>
        <v>-633500.84241728776</v>
      </c>
      <c r="O350" s="42" t="s">
        <v>111</v>
      </c>
      <c r="P350" s="40">
        <f>Q350/Q$313</f>
        <v>0.57591458962019304</v>
      </c>
      <c r="Q350" s="41">
        <f>Q329+Q348</f>
        <v>562957.54800000007</v>
      </c>
      <c r="R350" s="44"/>
      <c r="S350" s="293">
        <f>L350-Q350</f>
        <v>-562957.54800000007</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453434.83109272982</v>
      </c>
      <c r="G352" s="338"/>
      <c r="H352" s="336"/>
      <c r="I352" s="337">
        <f>I313-I350</f>
        <v>453434.83109272982</v>
      </c>
      <c r="J352" s="339"/>
      <c r="K352" s="340"/>
      <c r="L352" s="337">
        <f>L313-L350</f>
        <v>0</v>
      </c>
      <c r="M352" s="339"/>
      <c r="N352" s="337">
        <f t="shared" si="192"/>
        <v>-453434.83109272982</v>
      </c>
      <c r="O352" s="339"/>
      <c r="P352" s="340"/>
      <c r="Q352" s="337">
        <f>Q313-Q350</f>
        <v>414544.25199999998</v>
      </c>
      <c r="R352" s="339"/>
      <c r="S352" s="341">
        <f>L352-Q352</f>
        <v>-414544.25199999998</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0">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Octobre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21" t="s">
        <v>77</v>
      </c>
      <c r="E357" s="1421"/>
      <c r="F357" s="1428"/>
      <c r="G357" s="1424" t="s">
        <v>145</v>
      </c>
      <c r="H357" s="1421"/>
      <c r="I357" s="1428"/>
      <c r="J357" s="1424" t="s">
        <v>79</v>
      </c>
      <c r="K357" s="1421"/>
      <c r="L357" s="1428"/>
      <c r="M357" s="1424" t="s">
        <v>80</v>
      </c>
      <c r="N357" s="1428"/>
      <c r="O357" s="1424" t="s">
        <v>81</v>
      </c>
      <c r="P357" s="1421"/>
      <c r="Q357" s="1428"/>
      <c r="R357" s="1424" t="s">
        <v>82</v>
      </c>
      <c r="S357" s="1429"/>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3">+B358&amp;C358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3"/>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3"/>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3"/>
        <v>BoutiqueTotal Dépt. Boutique</v>
      </c>
      <c r="B361" s="24" t="s">
        <v>191</v>
      </c>
      <c r="C361" s="267" t="s">
        <v>192</v>
      </c>
      <c r="D361" s="240">
        <f>+D359</f>
        <v>0</v>
      </c>
      <c r="E361" s="231">
        <f>IF(D361&lt;=0,0,F361/D361)</f>
        <v>0</v>
      </c>
      <c r="F361" s="232">
        <f t="shared" ref="F361" si="194">+F359</f>
        <v>0</v>
      </c>
      <c r="G361" s="365">
        <f>+G359</f>
        <v>0</v>
      </c>
      <c r="H361" s="364">
        <f>IF(G361&lt;=0,0,I361/G361)</f>
        <v>0</v>
      </c>
      <c r="I361" s="366">
        <f t="shared" ref="I361:J361" si="195">+I359</f>
        <v>0</v>
      </c>
      <c r="J361" s="365">
        <f t="shared" si="195"/>
        <v>0</v>
      </c>
      <c r="K361" s="364">
        <f>IF(J361&lt;=0,0,L361/J361)</f>
        <v>0</v>
      </c>
      <c r="L361" s="366">
        <f>+L359</f>
        <v>0</v>
      </c>
      <c r="M361" s="618">
        <f>IF(G361=0,0,(+J361-G361)/G361)</f>
        <v>0</v>
      </c>
      <c r="N361" s="1061">
        <f>L361-I361</f>
        <v>0</v>
      </c>
      <c r="O361" s="365">
        <f t="shared" ref="O361" si="196">+O359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3"/>
        <v>Boutique</v>
      </c>
      <c r="B362" s="24" t="s">
        <v>191</v>
      </c>
      <c r="C362" s="270"/>
      <c r="D362" s="227"/>
      <c r="E362" s="227"/>
      <c r="F362" s="226"/>
      <c r="G362" s="297"/>
      <c r="H362" s="1062"/>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3"/>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3"/>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3"/>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7">L365-I365</f>
        <v>0</v>
      </c>
      <c r="O365" s="297"/>
      <c r="P365" s="172"/>
      <c r="Q365" s="171">
        <v>0</v>
      </c>
      <c r="R365" s="297"/>
      <c r="S365" s="193">
        <f t="shared" ref="S365:S393" si="198">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3"/>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7"/>
        <v>0</v>
      </c>
      <c r="O366" s="362"/>
      <c r="P366" s="346"/>
      <c r="Q366" s="174">
        <v>0</v>
      </c>
      <c r="R366" s="362"/>
      <c r="S366" s="195">
        <f t="shared" si="198"/>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3"/>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7"/>
        <v>0</v>
      </c>
      <c r="O367" s="297"/>
      <c r="P367" s="172"/>
      <c r="Q367" s="174">
        <v>0</v>
      </c>
      <c r="R367" s="297"/>
      <c r="S367" s="193">
        <f t="shared" si="198"/>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3"/>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7"/>
        <v>0</v>
      </c>
      <c r="O368" s="297"/>
      <c r="P368" s="172"/>
      <c r="Q368" s="174">
        <v>0</v>
      </c>
      <c r="R368" s="297"/>
      <c r="S368" s="193">
        <f t="shared" si="198"/>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3"/>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7"/>
        <v>0</v>
      </c>
      <c r="O369" s="297"/>
      <c r="P369" s="172"/>
      <c r="Q369" s="174">
        <v>0</v>
      </c>
      <c r="R369" s="297"/>
      <c r="S369" s="193">
        <f t="shared" si="198"/>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3"/>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7"/>
        <v>0</v>
      </c>
      <c r="O370" s="297"/>
      <c r="P370" s="172"/>
      <c r="Q370" s="174">
        <v>0</v>
      </c>
      <c r="R370" s="297"/>
      <c r="S370" s="193">
        <f t="shared" si="198"/>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3"/>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7"/>
        <v>0</v>
      </c>
      <c r="O371" s="297"/>
      <c r="P371" s="172"/>
      <c r="Q371" s="171">
        <v>0</v>
      </c>
      <c r="R371" s="297"/>
      <c r="S371" s="193">
        <f t="shared" si="198"/>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3"/>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7"/>
        <v>0</v>
      </c>
      <c r="O372" s="362"/>
      <c r="P372" s="346"/>
      <c r="Q372" s="174">
        <v>0</v>
      </c>
      <c r="R372" s="362"/>
      <c r="S372" s="195">
        <f t="shared" si="198"/>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3"/>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7"/>
        <v>0</v>
      </c>
      <c r="O373" s="297"/>
      <c r="P373" s="172"/>
      <c r="Q373" s="174">
        <v>0</v>
      </c>
      <c r="R373" s="297"/>
      <c r="S373" s="193">
        <f t="shared" si="198"/>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3"/>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7"/>
        <v>0</v>
      </c>
      <c r="O374" s="297"/>
      <c r="P374" s="172"/>
      <c r="Q374" s="174">
        <v>0</v>
      </c>
      <c r="R374" s="297"/>
      <c r="S374" s="193">
        <f t="shared" si="198"/>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3"/>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7"/>
        <v>0</v>
      </c>
      <c r="O375" s="304"/>
      <c r="P375" s="302"/>
      <c r="Q375" s="174">
        <v>0</v>
      </c>
      <c r="R375" s="304"/>
      <c r="S375" s="196">
        <f t="shared" si="198"/>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3"/>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3">
        <f t="shared" si="198"/>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3"/>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7"/>
        <v>0</v>
      </c>
      <c r="O377" s="297"/>
      <c r="P377" s="172"/>
      <c r="Q377" s="174">
        <v>0</v>
      </c>
      <c r="R377" s="297"/>
      <c r="S377" s="193">
        <f t="shared" si="198"/>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3"/>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7"/>
        <v>0</v>
      </c>
      <c r="O378" s="297"/>
      <c r="P378" s="172"/>
      <c r="Q378" s="174">
        <v>0</v>
      </c>
      <c r="R378" s="297"/>
      <c r="S378" s="193">
        <f t="shared" si="198"/>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3"/>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7"/>
        <v>0</v>
      </c>
      <c r="O379" s="304"/>
      <c r="P379" s="302"/>
      <c r="Q379" s="171">
        <v>0</v>
      </c>
      <c r="R379" s="304"/>
      <c r="S379" s="196">
        <f t="shared" si="198"/>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3"/>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7"/>
        <v>0</v>
      </c>
      <c r="O380" s="297"/>
      <c r="P380" s="172"/>
      <c r="Q380" s="174">
        <v>0</v>
      </c>
      <c r="R380" s="297"/>
      <c r="S380" s="193">
        <f t="shared" si="198"/>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3"/>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7"/>
        <v>0</v>
      </c>
      <c r="O381" s="297"/>
      <c r="P381" s="172"/>
      <c r="Q381" s="174">
        <v>0</v>
      </c>
      <c r="R381" s="297"/>
      <c r="S381" s="193">
        <f t="shared" si="198"/>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3"/>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7"/>
        <v>0</v>
      </c>
      <c r="O382" s="304"/>
      <c r="P382" s="302"/>
      <c r="Q382" s="171">
        <v>0</v>
      </c>
      <c r="R382" s="304"/>
      <c r="S382" s="196">
        <f t="shared" si="198"/>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3"/>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7"/>
        <v>0</v>
      </c>
      <c r="O383" s="297"/>
      <c r="P383" s="172"/>
      <c r="Q383" s="174">
        <v>0</v>
      </c>
      <c r="R383" s="297"/>
      <c r="S383" s="193">
        <f t="shared" si="198"/>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3"/>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7"/>
        <v>0</v>
      </c>
      <c r="O384" s="297"/>
      <c r="P384" s="172"/>
      <c r="Q384" s="174">
        <v>0</v>
      </c>
      <c r="R384" s="297"/>
      <c r="S384" s="193">
        <f t="shared" si="198"/>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3"/>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7"/>
        <v>0</v>
      </c>
      <c r="O385" s="297"/>
      <c r="P385" s="172"/>
      <c r="Q385" s="174">
        <v>0</v>
      </c>
      <c r="R385" s="297"/>
      <c r="S385" s="193">
        <f t="shared" si="198"/>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3"/>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7"/>
        <v>0</v>
      </c>
      <c r="O386" s="297"/>
      <c r="P386" s="172"/>
      <c r="Q386" s="174">
        <v>0</v>
      </c>
      <c r="R386" s="297"/>
      <c r="S386" s="193">
        <f t="shared" si="198"/>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3"/>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7"/>
        <v>0</v>
      </c>
      <c r="O387" s="297"/>
      <c r="P387" s="172"/>
      <c r="Q387" s="174">
        <v>0</v>
      </c>
      <c r="R387" s="297"/>
      <c r="S387" s="193">
        <f t="shared" si="198"/>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3"/>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7"/>
        <v>0</v>
      </c>
      <c r="O388" s="297"/>
      <c r="P388" s="172"/>
      <c r="Q388" s="174">
        <v>0</v>
      </c>
      <c r="R388" s="297"/>
      <c r="S388" s="193">
        <f t="shared" si="198"/>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3"/>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7"/>
        <v>0</v>
      </c>
      <c r="O389" s="297"/>
      <c r="P389" s="172"/>
      <c r="Q389" s="174">
        <v>0</v>
      </c>
      <c r="R389" s="297"/>
      <c r="S389" s="193">
        <f t="shared" si="198"/>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3"/>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7"/>
        <v>0</v>
      </c>
      <c r="O390" s="297"/>
      <c r="P390" s="172"/>
      <c r="Q390" s="174">
        <v>0</v>
      </c>
      <c r="R390" s="297"/>
      <c r="S390" s="193">
        <f t="shared" si="198"/>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3"/>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7"/>
        <v>0</v>
      </c>
      <c r="O391" s="297"/>
      <c r="P391" s="172"/>
      <c r="Q391" s="174">
        <v>0</v>
      </c>
      <c r="R391" s="297"/>
      <c r="S391" s="193">
        <f t="shared" si="198"/>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3"/>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7"/>
        <v>0</v>
      </c>
      <c r="O392" s="297"/>
      <c r="P392" s="172"/>
      <c r="Q392" s="174">
        <v>0</v>
      </c>
      <c r="R392" s="297"/>
      <c r="S392" s="193">
        <f t="shared" si="198"/>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3"/>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7"/>
        <v>0</v>
      </c>
      <c r="O393" s="304"/>
      <c r="P393" s="302"/>
      <c r="Q393" s="174">
        <v>0</v>
      </c>
      <c r="R393" s="304"/>
      <c r="S393" s="196">
        <f t="shared" si="198"/>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28"/>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3"/>
      <c r="J399" s="363"/>
      <c r="K399" s="363"/>
      <c r="L399" s="1063"/>
      <c r="M399" s="363"/>
      <c r="N399" s="1063"/>
      <c r="O399" s="363"/>
      <c r="P399" s="363"/>
      <c r="Q399" s="1063"/>
      <c r="R399" s="363"/>
      <c r="S399" s="106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4"/>
      <c r="T400" s="1064"/>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5"/>
      <c r="N401" s="1065"/>
      <c r="O401" s="1065"/>
      <c r="P401" s="23"/>
      <c r="Q401" s="1069"/>
      <c r="R401" s="23"/>
      <c r="S401" s="947"/>
      <c r="T401" s="947"/>
      <c r="U401" s="1078"/>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Octobre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5"/>
      <c r="N402" s="1065"/>
      <c r="O402" s="1065"/>
      <c r="P402" s="1066"/>
      <c r="Q402" s="1069"/>
      <c r="R402" s="23"/>
      <c r="S402" s="1067"/>
      <c r="T402" s="1067"/>
      <c r="U402" s="1078"/>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5"/>
      <c r="N403" s="1065"/>
      <c r="O403" s="1065"/>
      <c r="P403" s="1066"/>
      <c r="Q403" s="1069"/>
      <c r="R403" s="23"/>
      <c r="S403" s="1067"/>
      <c r="T403" s="1067"/>
      <c r="U403" s="1078"/>
      <c r="V403" s="434"/>
      <c r="W403" s="963"/>
      <c r="X403" s="1426" t="s">
        <v>194</v>
      </c>
      <c r="Y403" s="1419"/>
      <c r="Z403" s="1427"/>
      <c r="AA403" s="1418" t="s">
        <v>145</v>
      </c>
      <c r="AB403" s="1419"/>
      <c r="AC403" s="1427"/>
      <c r="AD403" s="1418" t="s">
        <v>79</v>
      </c>
      <c r="AE403" s="1419"/>
      <c r="AF403" s="1427"/>
      <c r="AG403" s="1418" t="s">
        <v>195</v>
      </c>
      <c r="AH403" s="1419"/>
      <c r="AI403" s="1427"/>
      <c r="AJ403" s="1418" t="s">
        <v>196</v>
      </c>
      <c r="AK403" s="1419"/>
      <c r="AL403" s="1419"/>
      <c r="AM403" s="1418" t="s">
        <v>197</v>
      </c>
      <c r="AN403" s="1419"/>
      <c r="AO403" s="1420"/>
      <c r="AP403" s="79"/>
      <c r="AQ403" s="79" t="s">
        <v>2954</v>
      </c>
      <c r="AR403" s="79" t="s">
        <v>2955</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199">+U404&amp;V404</f>
        <v/>
      </c>
      <c r="B404" s="159"/>
      <c r="C404" s="23"/>
      <c r="D404" s="23"/>
      <c r="E404" s="23"/>
      <c r="F404" s="23"/>
      <c r="G404" s="23"/>
      <c r="H404" s="23"/>
      <c r="I404" s="23"/>
      <c r="J404" s="23"/>
      <c r="K404" s="23"/>
      <c r="L404" s="947"/>
      <c r="M404" s="1068"/>
      <c r="N404" s="23"/>
      <c r="O404" s="1068"/>
      <c r="P404" s="1066"/>
      <c r="Q404" s="1069"/>
      <c r="R404" s="23"/>
      <c r="S404" s="1067"/>
      <c r="T404" s="1067"/>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199"/>
        <v>Ventes nettes</v>
      </c>
      <c r="B405" s="159"/>
      <c r="C405" s="23"/>
      <c r="D405" s="23"/>
      <c r="E405" s="23"/>
      <c r="F405" s="23"/>
      <c r="G405" s="23"/>
      <c r="H405" s="23"/>
      <c r="I405" s="23"/>
      <c r="J405" s="1065"/>
      <c r="K405" s="1078"/>
      <c r="L405" s="23"/>
      <c r="M405" s="1065"/>
      <c r="N405" s="1070"/>
      <c r="O405" s="1070"/>
      <c r="P405" s="1066"/>
      <c r="Q405" s="1069"/>
      <c r="R405" s="79"/>
      <c r="S405" s="1067"/>
      <c r="T405" s="1067"/>
      <c r="U405" s="79"/>
      <c r="V405" s="300" t="s">
        <v>88</v>
      </c>
      <c r="W405" s="439"/>
      <c r="X405" s="439"/>
      <c r="Y405" s="439"/>
      <c r="Z405" s="440">
        <f>F5+F93+E193+E249+D313+D361</f>
        <v>48450346.482940957</v>
      </c>
      <c r="AA405" s="439"/>
      <c r="AB405" s="439"/>
      <c r="AC405" s="440">
        <f>I5+I93+H193+H249+G313+G361</f>
        <v>48450346.482940957</v>
      </c>
      <c r="AD405" s="441"/>
      <c r="AE405" s="442"/>
      <c r="AF405" s="442">
        <f>L5+L93+K193+K249+J313+J361</f>
        <v>0</v>
      </c>
      <c r="AG405" s="441"/>
      <c r="AH405" s="442"/>
      <c r="AI405" s="443"/>
      <c r="AJ405" s="441"/>
      <c r="AK405" s="442"/>
      <c r="AL405" s="442">
        <f>Q5+Q93+P193+P249+O313+O361</f>
        <v>48726591.030000001</v>
      </c>
      <c r="AM405" s="444"/>
      <c r="AN405" s="442"/>
      <c r="AO405" s="445"/>
      <c r="AP405" s="79"/>
      <c r="AQ405" s="442">
        <v>58622946.420000002</v>
      </c>
      <c r="AR405" s="442">
        <f>AF405-AQ405</f>
        <v>-58622946.420000002</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199"/>
        <v>Profit brut</v>
      </c>
      <c r="B406" s="159"/>
      <c r="C406" s="23"/>
      <c r="D406" s="23"/>
      <c r="E406" s="23"/>
      <c r="F406" s="23"/>
      <c r="G406" s="23"/>
      <c r="H406" s="23"/>
      <c r="I406" s="23"/>
      <c r="J406" s="1065"/>
      <c r="K406" s="1078"/>
      <c r="L406" s="23"/>
      <c r="M406" s="1065"/>
      <c r="N406" s="1065"/>
      <c r="O406" s="1065"/>
      <c r="P406" s="1066"/>
      <c r="Q406" s="1069"/>
      <c r="R406" s="79"/>
      <c r="S406" s="947"/>
      <c r="T406" s="947"/>
      <c r="U406" s="1078"/>
      <c r="V406" s="446" t="s">
        <v>205</v>
      </c>
      <c r="W406" s="81"/>
      <c r="X406" s="81"/>
      <c r="Y406" s="81"/>
      <c r="Z406" s="82">
        <f>F27+F107+F193+F249+F313+F361</f>
        <v>6398106.769472789</v>
      </c>
      <c r="AA406" s="81"/>
      <c r="AB406" s="81"/>
      <c r="AC406" s="82">
        <f>I27+I107+I193+I249+I313+I361</f>
        <v>6398106.769472789</v>
      </c>
      <c r="AD406" s="83"/>
      <c r="AE406" s="84"/>
      <c r="AF406" s="84">
        <f>L27+L107+L193+L249+L313+L361</f>
        <v>0</v>
      </c>
      <c r="AG406" s="83"/>
      <c r="AH406" s="84">
        <f>AF406-AC406</f>
        <v>-6398106.769472789</v>
      </c>
      <c r="AI406" s="85">
        <f>AH406/AC406</f>
        <v>-1</v>
      </c>
      <c r="AJ406" s="83"/>
      <c r="AK406" s="84"/>
      <c r="AL406" s="84">
        <f>Q27+Q107+Q193+Q249+Q313+Q361</f>
        <v>5778938.9300000006</v>
      </c>
      <c r="AM406" s="86"/>
      <c r="AN406" s="84">
        <f>AF406-AL406</f>
        <v>-5778938.9300000006</v>
      </c>
      <c r="AO406" s="447">
        <f>IF(AL406=0,0,AN406/AL406)</f>
        <v>-1</v>
      </c>
      <c r="AP406" s="101">
        <f>AF406-Print_Mois!AF406</f>
        <v>0</v>
      </c>
      <c r="AQ406" s="84">
        <v>7158700.5199999996</v>
      </c>
      <c r="AR406" s="84">
        <f>AF406-AQ406</f>
        <v>-7158700.5199999996</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199"/>
        <v>DÉPENSES</v>
      </c>
      <c r="B407" s="159"/>
      <c r="C407" s="23"/>
      <c r="D407" s="23"/>
      <c r="E407" s="23"/>
      <c r="F407" s="23"/>
      <c r="G407" s="23"/>
      <c r="H407" s="23"/>
      <c r="I407" s="23"/>
      <c r="J407" s="57"/>
      <c r="K407" s="1078"/>
      <c r="L407" s="23"/>
      <c r="M407" s="1065"/>
      <c r="N407" s="1065"/>
      <c r="O407" s="1065"/>
      <c r="P407" s="1066"/>
      <c r="Q407" s="1069"/>
      <c r="R407" s="79"/>
      <c r="S407" s="1067"/>
      <c r="T407" s="1067"/>
      <c r="U407" s="1078"/>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199"/>
        <v>Comm. vendeurs</v>
      </c>
      <c r="B408" s="159"/>
      <c r="C408" s="23"/>
      <c r="D408" s="23"/>
      <c r="E408" s="23"/>
      <c r="F408" s="23"/>
      <c r="G408" s="23"/>
      <c r="H408" s="23"/>
      <c r="I408" s="23"/>
      <c r="J408" s="1065"/>
      <c r="K408" s="1078"/>
      <c r="L408" s="23"/>
      <c r="M408" s="1065"/>
      <c r="N408" s="1065"/>
      <c r="O408" s="1065"/>
      <c r="P408" s="1066"/>
      <c r="Q408" s="1069"/>
      <c r="R408" s="79"/>
      <c r="S408" s="1067"/>
      <c r="T408" s="1067"/>
      <c r="U408" s="1078"/>
      <c r="V408" s="299" t="s">
        <v>103</v>
      </c>
      <c r="W408" s="454" t="s">
        <v>207</v>
      </c>
      <c r="X408" s="449"/>
      <c r="Y408" s="455">
        <f t="shared" ref="Y408:Y414" si="200">Z408/(D$13+D$96)</f>
        <v>612.79849196269231</v>
      </c>
      <c r="Z408" s="87">
        <f t="shared" ref="Z408:Z417" si="201">+SUMIF($C:$C,$V408,F:F)</f>
        <v>645646.71323427302</v>
      </c>
      <c r="AA408" s="449"/>
      <c r="AB408" s="455">
        <f t="shared" ref="AB408:AB414" si="202">IF(AC408=0,0,AC408/(G$13+G$96))</f>
        <v>612.79849196269231</v>
      </c>
      <c r="AC408" s="87">
        <f t="shared" ref="AC408:AC417" si="203">+SUMIF($C:$C,$V408,I:I)</f>
        <v>645646.71323427302</v>
      </c>
      <c r="AD408" s="456"/>
      <c r="AE408" s="455">
        <f t="shared" ref="AE408:AE413" si="204">IF(AF408=0,0,AF408/(J$13+J$96))</f>
        <v>0</v>
      </c>
      <c r="AF408" s="87">
        <f t="shared" ref="AF408:AF417" si="205">+SUMIF($C:$C,$V408,L:L)</f>
        <v>0</v>
      </c>
      <c r="AG408" s="450">
        <f t="shared" ref="AG408:AH413" si="206">AE408-AB408</f>
        <v>-612.79849196269231</v>
      </c>
      <c r="AH408" s="451">
        <f t="shared" si="206"/>
        <v>-645646.71323427302</v>
      </c>
      <c r="AI408" s="452">
        <f>IF(AC408=0,0,AH408/AC408)</f>
        <v>-1</v>
      </c>
      <c r="AJ408" s="456"/>
      <c r="AK408" s="451">
        <f t="shared" ref="AK408:AK414" si="207">AL408/(O$13+O$96)</f>
        <v>617.40619644723085</v>
      </c>
      <c r="AL408" s="87">
        <f t="shared" ref="AL408:AL417" si="208">+SUMIF($C:$C,$V408,Q:Q)</f>
        <v>590857.73</v>
      </c>
      <c r="AM408" s="453">
        <f t="shared" ref="AM408:AM413" si="209">AE408-Y408</f>
        <v>-612.79849196269231</v>
      </c>
      <c r="AN408" s="451">
        <f t="shared" ref="AN408:AN430" si="210">AF408-AL408</f>
        <v>-590857.73</v>
      </c>
      <c r="AO408" s="208">
        <f>IF(AL408=0,0,AN408/AL408)</f>
        <v>-1</v>
      </c>
      <c r="AP408" s="101">
        <f>AF408-Print_Mois!AF408</f>
        <v>0</v>
      </c>
      <c r="AQ408" s="87">
        <v>735672.45</v>
      </c>
      <c r="AR408" s="87">
        <f t="shared" ref="AR408:AR465" si="211">AF408-AQ408</f>
        <v>-735672.45</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199"/>
        <v>Comm. F&amp;I</v>
      </c>
      <c r="B409" s="159"/>
      <c r="C409" s="23"/>
      <c r="D409" s="23"/>
      <c r="E409" s="23"/>
      <c r="F409" s="23"/>
      <c r="G409" s="23"/>
      <c r="H409" s="23"/>
      <c r="I409" s="23"/>
      <c r="J409" s="1065"/>
      <c r="K409" s="1078"/>
      <c r="L409" s="947"/>
      <c r="M409" s="1068"/>
      <c r="N409" s="1068"/>
      <c r="O409" s="1068"/>
      <c r="P409" s="947"/>
      <c r="Q409" s="1069"/>
      <c r="R409" s="79"/>
      <c r="S409" s="1067"/>
      <c r="T409" s="1067"/>
      <c r="U409" s="23"/>
      <c r="V409" s="300" t="s">
        <v>104</v>
      </c>
      <c r="W409" s="457" t="s">
        <v>208</v>
      </c>
      <c r="X409" s="439"/>
      <c r="Y409" s="458">
        <f t="shared" si="200"/>
        <v>385.1359503688866</v>
      </c>
      <c r="Z409" s="440">
        <f t="shared" si="201"/>
        <v>405780.63387135178</v>
      </c>
      <c r="AA409" s="439"/>
      <c r="AB409" s="458">
        <f t="shared" si="202"/>
        <v>385.1359503688866</v>
      </c>
      <c r="AC409" s="440">
        <f t="shared" si="203"/>
        <v>405780.63387135178</v>
      </c>
      <c r="AD409" s="459"/>
      <c r="AE409" s="458">
        <f t="shared" si="204"/>
        <v>0</v>
      </c>
      <c r="AF409" s="440">
        <f t="shared" si="205"/>
        <v>0</v>
      </c>
      <c r="AG409" s="441">
        <f t="shared" si="206"/>
        <v>-385.1359503688866</v>
      </c>
      <c r="AH409" s="442">
        <f t="shared" si="206"/>
        <v>-405780.63387135178</v>
      </c>
      <c r="AI409" s="460">
        <f t="shared" ref="AI409:AI413" si="212">IF(AC409=0,0,AH409/AC409)</f>
        <v>-1</v>
      </c>
      <c r="AJ409" s="459"/>
      <c r="AK409" s="442">
        <f t="shared" si="207"/>
        <v>397.44862068965517</v>
      </c>
      <c r="AL409" s="440">
        <f t="shared" si="208"/>
        <v>380358.33</v>
      </c>
      <c r="AM409" s="444">
        <f t="shared" si="209"/>
        <v>-385.1359503688866</v>
      </c>
      <c r="AN409" s="442">
        <f t="shared" si="210"/>
        <v>-380358.33</v>
      </c>
      <c r="AO409" s="209">
        <f t="shared" ref="AO409:AO413" si="213">IF(AL409=0,0,AN409/AL409)</f>
        <v>-1</v>
      </c>
      <c r="AP409" s="101">
        <f>AF409-Print_Mois!AF409</f>
        <v>0</v>
      </c>
      <c r="AQ409" s="440">
        <v>455378.20999999996</v>
      </c>
      <c r="AR409" s="440">
        <f t="shared" si="211"/>
        <v>-455378.20999999996</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199"/>
        <v>Frais de livraison</v>
      </c>
      <c r="B410" s="159"/>
      <c r="C410" s="23"/>
      <c r="D410" s="23"/>
      <c r="E410" s="23"/>
      <c r="F410" s="23"/>
      <c r="G410" s="23"/>
      <c r="H410" s="23"/>
      <c r="I410" s="23"/>
      <c r="J410" s="1065"/>
      <c r="K410" s="23"/>
      <c r="L410" s="23"/>
      <c r="M410" s="1068"/>
      <c r="N410" s="1070"/>
      <c r="O410" s="1070"/>
      <c r="P410" s="1066"/>
      <c r="Q410" s="1069"/>
      <c r="R410" s="79"/>
      <c r="S410" s="1067"/>
      <c r="T410" s="1067"/>
      <c r="U410" s="79"/>
      <c r="V410" s="299" t="s">
        <v>105</v>
      </c>
      <c r="W410" s="454" t="s">
        <v>209</v>
      </c>
      <c r="X410" s="449"/>
      <c r="Y410" s="455">
        <f t="shared" si="200"/>
        <v>139.95882585139498</v>
      </c>
      <c r="Z410" s="87">
        <f t="shared" si="201"/>
        <v>147461.12642944072</v>
      </c>
      <c r="AA410" s="449"/>
      <c r="AB410" s="455">
        <f t="shared" si="202"/>
        <v>139.95882585139498</v>
      </c>
      <c r="AC410" s="87">
        <f t="shared" si="203"/>
        <v>147461.12642944072</v>
      </c>
      <c r="AD410" s="456"/>
      <c r="AE410" s="455">
        <f t="shared" si="204"/>
        <v>0</v>
      </c>
      <c r="AF410" s="87">
        <f t="shared" si="205"/>
        <v>0</v>
      </c>
      <c r="AG410" s="450">
        <f t="shared" si="206"/>
        <v>-139.95882585139498</v>
      </c>
      <c r="AH410" s="451">
        <f t="shared" si="206"/>
        <v>-147461.12642944072</v>
      </c>
      <c r="AI410" s="452">
        <f t="shared" si="212"/>
        <v>-1</v>
      </c>
      <c r="AJ410" s="456"/>
      <c r="AK410" s="451">
        <f t="shared" si="207"/>
        <v>136.51839080459771</v>
      </c>
      <c r="AL410" s="87">
        <f t="shared" si="208"/>
        <v>130648.1</v>
      </c>
      <c r="AM410" s="453">
        <f t="shared" si="209"/>
        <v>-139.95882585139498</v>
      </c>
      <c r="AN410" s="451">
        <f t="shared" si="210"/>
        <v>-130648.1</v>
      </c>
      <c r="AO410" s="208">
        <f t="shared" si="213"/>
        <v>-1</v>
      </c>
      <c r="AP410" s="101">
        <f>AF410-Print_Mois!AF410</f>
        <v>0</v>
      </c>
      <c r="AQ410" s="87">
        <v>154370.49</v>
      </c>
      <c r="AR410" s="87">
        <f t="shared" si="211"/>
        <v>-154370.49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199"/>
        <v>Service gratuit 1</v>
      </c>
      <c r="B411" s="159"/>
      <c r="C411" s="23"/>
      <c r="D411" s="23"/>
      <c r="E411" s="23"/>
      <c r="F411" s="23"/>
      <c r="G411" s="23"/>
      <c r="H411" s="23"/>
      <c r="I411" s="23"/>
      <c r="J411" s="23"/>
      <c r="K411" s="23"/>
      <c r="L411" s="23"/>
      <c r="M411" s="1065"/>
      <c r="N411" s="1065"/>
      <c r="O411" s="1065"/>
      <c r="P411" s="1066"/>
      <c r="Q411" s="1069"/>
      <c r="R411" s="79"/>
      <c r="S411" s="947"/>
      <c r="T411" s="947"/>
      <c r="U411" s="1078"/>
      <c r="V411" s="299" t="s">
        <v>106</v>
      </c>
      <c r="W411" s="454" t="s">
        <v>210</v>
      </c>
      <c r="X411" s="449"/>
      <c r="Y411" s="455">
        <f t="shared" si="200"/>
        <v>17.804673139317256</v>
      </c>
      <c r="Z411" s="87">
        <f t="shared" si="201"/>
        <v>18759.068182091072</v>
      </c>
      <c r="AA411" s="449"/>
      <c r="AB411" s="455">
        <f t="shared" si="202"/>
        <v>17.804673139317256</v>
      </c>
      <c r="AC411" s="87">
        <f t="shared" si="203"/>
        <v>18759.068182091072</v>
      </c>
      <c r="AD411" s="456"/>
      <c r="AE411" s="455">
        <f t="shared" si="204"/>
        <v>0</v>
      </c>
      <c r="AF411" s="87">
        <f t="shared" si="205"/>
        <v>0</v>
      </c>
      <c r="AG411" s="450">
        <f t="shared" si="206"/>
        <v>-17.804673139317256</v>
      </c>
      <c r="AH411" s="451">
        <f t="shared" si="206"/>
        <v>-18759.068182091072</v>
      </c>
      <c r="AI411" s="452">
        <f t="shared" si="212"/>
        <v>-1</v>
      </c>
      <c r="AJ411" s="456"/>
      <c r="AK411" s="451">
        <f t="shared" si="207"/>
        <v>14.51737722048067</v>
      </c>
      <c r="AL411" s="87">
        <f t="shared" si="208"/>
        <v>13893.130000000001</v>
      </c>
      <c r="AM411" s="453">
        <f t="shared" si="209"/>
        <v>-17.804673139317256</v>
      </c>
      <c r="AN411" s="451">
        <f t="shared" si="210"/>
        <v>-13893.130000000001</v>
      </c>
      <c r="AO411" s="210">
        <f t="shared" si="213"/>
        <v>-1</v>
      </c>
      <c r="AP411" s="101">
        <f>AF411-Print_Mois!AF411</f>
        <v>0</v>
      </c>
      <c r="AQ411" s="87">
        <v>30213.78</v>
      </c>
      <c r="AR411" s="87">
        <f t="shared" si="211"/>
        <v>-30213.78</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199"/>
        <v>Entretien stock</v>
      </c>
      <c r="B412" s="159"/>
      <c r="C412" s="23"/>
      <c r="D412" s="23"/>
      <c r="E412" s="23"/>
      <c r="F412" s="23"/>
      <c r="G412" s="23"/>
      <c r="H412" s="23"/>
      <c r="I412" s="23"/>
      <c r="J412" s="23"/>
      <c r="K412" s="23"/>
      <c r="L412" s="23"/>
      <c r="M412" s="1065"/>
      <c r="N412" s="1065"/>
      <c r="O412" s="1065"/>
      <c r="P412" s="1066"/>
      <c r="Q412" s="1069"/>
      <c r="R412" s="79"/>
      <c r="S412" s="1067"/>
      <c r="T412" s="1067"/>
      <c r="U412" s="1078"/>
      <c r="V412" s="300" t="s">
        <v>107</v>
      </c>
      <c r="W412" s="457"/>
      <c r="X412" s="439"/>
      <c r="Y412" s="458">
        <f t="shared" si="200"/>
        <v>45.899891761810416</v>
      </c>
      <c r="Z412" s="440">
        <f t="shared" si="201"/>
        <v>48360.292400370323</v>
      </c>
      <c r="AA412" s="439"/>
      <c r="AB412" s="458">
        <f t="shared" si="202"/>
        <v>45.899891761810416</v>
      </c>
      <c r="AC412" s="440">
        <f t="shared" si="203"/>
        <v>48360.292400370323</v>
      </c>
      <c r="AD412" s="459"/>
      <c r="AE412" s="458">
        <f t="shared" si="204"/>
        <v>0</v>
      </c>
      <c r="AF412" s="440">
        <f t="shared" si="205"/>
        <v>0</v>
      </c>
      <c r="AG412" s="441">
        <f t="shared" si="206"/>
        <v>-45.899891761810416</v>
      </c>
      <c r="AH412" s="442">
        <f t="shared" si="206"/>
        <v>-48360.292400370323</v>
      </c>
      <c r="AI412" s="460">
        <f t="shared" si="212"/>
        <v>-1</v>
      </c>
      <c r="AJ412" s="459"/>
      <c r="AK412" s="442">
        <f t="shared" si="207"/>
        <v>46.600741901776381</v>
      </c>
      <c r="AL412" s="440">
        <f t="shared" si="208"/>
        <v>44596.909999999996</v>
      </c>
      <c r="AM412" s="444">
        <f t="shared" si="209"/>
        <v>-45.899891761810416</v>
      </c>
      <c r="AN412" s="442">
        <f t="shared" si="210"/>
        <v>-44596.909999999996</v>
      </c>
      <c r="AO412" s="209">
        <f t="shared" si="213"/>
        <v>-1</v>
      </c>
      <c r="AP412" s="101">
        <f>AF412-Print_Mois!AF412</f>
        <v>0</v>
      </c>
      <c r="AQ412" s="440">
        <v>55253.950000000004</v>
      </c>
      <c r="AR412" s="440">
        <f t="shared" si="211"/>
        <v>-55253.950000000004</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199"/>
        <v>Publicité 1</v>
      </c>
      <c r="B413" s="159"/>
      <c r="C413" s="23"/>
      <c r="D413" s="23"/>
      <c r="E413" s="23"/>
      <c r="F413" s="23"/>
      <c r="G413" s="23"/>
      <c r="H413" s="23"/>
      <c r="I413" s="23"/>
      <c r="J413" s="23"/>
      <c r="K413" s="23"/>
      <c r="L413" s="23"/>
      <c r="M413" s="1065"/>
      <c r="N413" s="1065"/>
      <c r="O413" s="1065"/>
      <c r="P413" s="1066"/>
      <c r="Q413" s="1069"/>
      <c r="R413" s="79"/>
      <c r="S413" s="1067"/>
      <c r="T413" s="1067"/>
      <c r="U413" s="1078"/>
      <c r="V413" s="299" t="s">
        <v>108</v>
      </c>
      <c r="W413" s="454" t="s">
        <v>211</v>
      </c>
      <c r="X413" s="452"/>
      <c r="Y413" s="455">
        <f t="shared" si="200"/>
        <v>148.53277176246789</v>
      </c>
      <c r="Z413" s="87">
        <f t="shared" si="201"/>
        <v>156494.66693180488</v>
      </c>
      <c r="AA413" s="452"/>
      <c r="AB413" s="455">
        <f t="shared" si="202"/>
        <v>148.53277176246789</v>
      </c>
      <c r="AC413" s="87">
        <f t="shared" si="203"/>
        <v>156494.66693180488</v>
      </c>
      <c r="AD413" s="456"/>
      <c r="AE413" s="455">
        <f t="shared" si="204"/>
        <v>0</v>
      </c>
      <c r="AF413" s="87">
        <f t="shared" si="205"/>
        <v>0</v>
      </c>
      <c r="AG413" s="450">
        <f t="shared" si="206"/>
        <v>-148.53277176246789</v>
      </c>
      <c r="AH413" s="451">
        <f t="shared" si="206"/>
        <v>-156494.66693180488</v>
      </c>
      <c r="AI413" s="452">
        <f t="shared" si="212"/>
        <v>-1</v>
      </c>
      <c r="AJ413" s="456"/>
      <c r="AK413" s="451">
        <f t="shared" si="207"/>
        <v>138.16493207941485</v>
      </c>
      <c r="AL413" s="87">
        <f t="shared" si="208"/>
        <v>132223.84000000003</v>
      </c>
      <c r="AM413" s="453">
        <f t="shared" si="209"/>
        <v>-148.53277176246789</v>
      </c>
      <c r="AN413" s="451">
        <f t="shared" si="210"/>
        <v>-132223.84000000003</v>
      </c>
      <c r="AO413" s="208">
        <f t="shared" si="213"/>
        <v>-1</v>
      </c>
      <c r="AP413" s="101">
        <f>AF413-Print_Mois!AF413</f>
        <v>0</v>
      </c>
      <c r="AQ413" s="87">
        <v>153234.21000000002</v>
      </c>
      <c r="AR413" s="87">
        <f t="shared" si="211"/>
        <v>-153234.21000000002</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199"/>
        <v>Intérêt de gros</v>
      </c>
      <c r="B414" s="159"/>
      <c r="C414" s="23"/>
      <c r="D414" s="23"/>
      <c r="E414" s="23"/>
      <c r="F414" s="23"/>
      <c r="G414" s="23"/>
      <c r="H414" s="23"/>
      <c r="I414" s="23"/>
      <c r="J414" s="23"/>
      <c r="K414" s="23"/>
      <c r="L414" s="23"/>
      <c r="M414" s="1065"/>
      <c r="N414" s="1065"/>
      <c r="O414" s="1065"/>
      <c r="P414" s="947"/>
      <c r="Q414" s="1069"/>
      <c r="R414" s="79"/>
      <c r="S414" s="1067"/>
      <c r="T414" s="1067"/>
      <c r="U414" s="23"/>
      <c r="V414" s="299" t="s">
        <v>109</v>
      </c>
      <c r="W414" s="454" t="s">
        <v>212</v>
      </c>
      <c r="X414" s="449"/>
      <c r="Y414" s="455">
        <f t="shared" si="200"/>
        <v>77.549518691795569</v>
      </c>
      <c r="Z414" s="87">
        <f t="shared" si="201"/>
        <v>81706.454100258969</v>
      </c>
      <c r="AA414" s="449"/>
      <c r="AB414" s="455">
        <f t="shared" si="202"/>
        <v>77.549518691795569</v>
      </c>
      <c r="AC414" s="87">
        <f t="shared" si="203"/>
        <v>81706.454100258969</v>
      </c>
      <c r="AD414" s="456"/>
      <c r="AE414" s="455">
        <f>IF(AF414=0,0,AF414/(J$13+J$13))</f>
        <v>0</v>
      </c>
      <c r="AF414" s="87">
        <f t="shared" si="205"/>
        <v>0</v>
      </c>
      <c r="AG414" s="450">
        <f t="shared" ref="AG414" si="214">AE414-AB414</f>
        <v>-77.549518691795569</v>
      </c>
      <c r="AH414" s="451">
        <f t="shared" ref="AH414" si="215">AF414-AC414</f>
        <v>-81706.454100258969</v>
      </c>
      <c r="AI414" s="452">
        <f t="shared" ref="AI414" si="216">IF(AC414=0,0,AH414/AC414)</f>
        <v>-1</v>
      </c>
      <c r="AJ414" s="456"/>
      <c r="AK414" s="451">
        <f t="shared" si="207"/>
        <v>142.28035527690699</v>
      </c>
      <c r="AL414" s="87">
        <f t="shared" si="208"/>
        <v>136162.29999999999</v>
      </c>
      <c r="AM414" s="453">
        <f t="shared" ref="AM414" si="217">AE414-Y414</f>
        <v>-77.549518691795569</v>
      </c>
      <c r="AN414" s="451">
        <f t="shared" ref="AN414" si="218">AF414-AL414</f>
        <v>-136162.29999999999</v>
      </c>
      <c r="AO414" s="208">
        <f t="shared" ref="AO414" si="219">IF(AL414=0,0,AN414/AL414)</f>
        <v>-1</v>
      </c>
      <c r="AP414" s="101">
        <f>AF414-Print_Mois!AF414</f>
        <v>0</v>
      </c>
      <c r="AQ414" s="87">
        <v>154563.74</v>
      </c>
      <c r="AR414" s="87">
        <f t="shared" si="211"/>
        <v>-154563.74</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199"/>
        <v>[...]</v>
      </c>
      <c r="B415" s="159"/>
      <c r="C415" s="23"/>
      <c r="D415" s="23"/>
      <c r="E415" s="23"/>
      <c r="F415" s="23"/>
      <c r="G415" s="23"/>
      <c r="H415" s="23"/>
      <c r="I415" s="23"/>
      <c r="J415" s="23"/>
      <c r="K415" s="23"/>
      <c r="L415" s="23"/>
      <c r="M415" s="23"/>
      <c r="N415" s="23"/>
      <c r="O415" s="1070"/>
      <c r="P415" s="1066"/>
      <c r="Q415" s="1069"/>
      <c r="R415" s="79"/>
      <c r="S415" s="1067"/>
      <c r="T415" s="1067"/>
      <c r="U415" s="79"/>
      <c r="V415" s="299" t="s">
        <v>42</v>
      </c>
      <c r="W415" s="454"/>
      <c r="X415" s="452"/>
      <c r="Y415" s="455">
        <f t="shared" ref="Y415:Y417" si="220">Z415/(D$13+D$96)</f>
        <v>0</v>
      </c>
      <c r="Z415" s="87">
        <f t="shared" si="201"/>
        <v>0</v>
      </c>
      <c r="AA415" s="449"/>
      <c r="AB415" s="455">
        <f t="shared" ref="AB415:AB417" si="221">IF(AC415=0,0,AC415/(G$13+G$96))</f>
        <v>0</v>
      </c>
      <c r="AC415" s="87">
        <f t="shared" si="203"/>
        <v>0</v>
      </c>
      <c r="AD415" s="456"/>
      <c r="AE415" s="455">
        <f t="shared" ref="AE415:AE417" si="222">IF(AF415=0,0,AF415/(J$13+J$13))</f>
        <v>0</v>
      </c>
      <c r="AF415" s="87">
        <f t="shared" si="205"/>
        <v>0</v>
      </c>
      <c r="AG415" s="450">
        <f t="shared" ref="AG415:AG417" si="223">AE415-AB415</f>
        <v>0</v>
      </c>
      <c r="AH415" s="451">
        <f t="shared" ref="AH415:AH417" si="224">AF415-AC415</f>
        <v>0</v>
      </c>
      <c r="AI415" s="452">
        <f t="shared" ref="AI415:AI417" si="225">IF(AC415=0,0,AH415/AC415)</f>
        <v>0</v>
      </c>
      <c r="AJ415" s="456"/>
      <c r="AK415" s="451">
        <f t="shared" ref="AK415:AK417" si="226">AL415/(O$13+O$96)</f>
        <v>0</v>
      </c>
      <c r="AL415" s="87">
        <f t="shared" si="208"/>
        <v>0</v>
      </c>
      <c r="AM415" s="453">
        <f t="shared" ref="AM415:AM417" si="227">AE415-Y415</f>
        <v>0</v>
      </c>
      <c r="AN415" s="451">
        <f t="shared" ref="AN415:AN417" si="228">AF415-AL415</f>
        <v>0</v>
      </c>
      <c r="AO415" s="208">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199"/>
        <v>[...]</v>
      </c>
      <c r="B416" s="159"/>
      <c r="C416" s="23"/>
      <c r="D416" s="23"/>
      <c r="E416" s="23"/>
      <c r="F416" s="23"/>
      <c r="G416" s="23"/>
      <c r="H416" s="23"/>
      <c r="I416" s="23"/>
      <c r="J416" s="23"/>
      <c r="K416" s="23"/>
      <c r="L416" s="23"/>
      <c r="M416" s="23"/>
      <c r="N416" s="23"/>
      <c r="O416" s="1070"/>
      <c r="P416" s="1066"/>
      <c r="Q416" s="1069"/>
      <c r="R416" s="79"/>
      <c r="S416" s="1067"/>
      <c r="T416" s="1067"/>
      <c r="U416" s="79"/>
      <c r="V416" s="299" t="s">
        <v>42</v>
      </c>
      <c r="W416" s="454"/>
      <c r="X416" s="452"/>
      <c r="Y416" s="455">
        <f t="shared" si="220"/>
        <v>0</v>
      </c>
      <c r="Z416" s="87">
        <f t="shared" si="201"/>
        <v>0</v>
      </c>
      <c r="AA416" s="449"/>
      <c r="AB416" s="455">
        <f t="shared" si="221"/>
        <v>0</v>
      </c>
      <c r="AC416" s="87">
        <f t="shared" si="203"/>
        <v>0</v>
      </c>
      <c r="AD416" s="456"/>
      <c r="AE416" s="455">
        <f t="shared" si="222"/>
        <v>0</v>
      </c>
      <c r="AF416" s="87">
        <f t="shared" si="205"/>
        <v>0</v>
      </c>
      <c r="AG416" s="450">
        <f t="shared" si="223"/>
        <v>0</v>
      </c>
      <c r="AH416" s="451">
        <f t="shared" si="224"/>
        <v>0</v>
      </c>
      <c r="AI416" s="452">
        <f t="shared" si="225"/>
        <v>0</v>
      </c>
      <c r="AJ416" s="456"/>
      <c r="AK416" s="451">
        <f t="shared" si="226"/>
        <v>0</v>
      </c>
      <c r="AL416" s="87">
        <f t="shared" si="208"/>
        <v>0</v>
      </c>
      <c r="AM416" s="453">
        <f t="shared" si="227"/>
        <v>0</v>
      </c>
      <c r="AN416" s="451">
        <f t="shared" si="228"/>
        <v>0</v>
      </c>
      <c r="AO416" s="208">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199"/>
        <v>[...]</v>
      </c>
      <c r="B417" s="159"/>
      <c r="C417" s="23"/>
      <c r="D417" s="23"/>
      <c r="E417" s="23"/>
      <c r="F417" s="23"/>
      <c r="G417" s="23"/>
      <c r="H417" s="23"/>
      <c r="I417" s="23"/>
      <c r="J417" s="23"/>
      <c r="K417" s="23"/>
      <c r="L417" s="23"/>
      <c r="M417" s="23"/>
      <c r="N417" s="23"/>
      <c r="O417" s="1070"/>
      <c r="P417" s="1066"/>
      <c r="Q417" s="1069"/>
      <c r="R417" s="79"/>
      <c r="S417" s="1067"/>
      <c r="T417" s="1067"/>
      <c r="U417" s="79"/>
      <c r="V417" s="299" t="s">
        <v>42</v>
      </c>
      <c r="W417" s="454" t="s">
        <v>212</v>
      </c>
      <c r="X417" s="449"/>
      <c r="Y417" s="455">
        <f t="shared" si="220"/>
        <v>0</v>
      </c>
      <c r="Z417" s="87">
        <f t="shared" si="201"/>
        <v>0</v>
      </c>
      <c r="AA417" s="449"/>
      <c r="AB417" s="455">
        <f t="shared" si="221"/>
        <v>0</v>
      </c>
      <c r="AC417" s="87">
        <f t="shared" si="203"/>
        <v>0</v>
      </c>
      <c r="AD417" s="456"/>
      <c r="AE417" s="455">
        <f t="shared" si="222"/>
        <v>0</v>
      </c>
      <c r="AF417" s="87">
        <f t="shared" si="205"/>
        <v>0</v>
      </c>
      <c r="AG417" s="450">
        <f t="shared" si="223"/>
        <v>0</v>
      </c>
      <c r="AH417" s="451">
        <f t="shared" si="224"/>
        <v>0</v>
      </c>
      <c r="AI417" s="452">
        <f t="shared" si="225"/>
        <v>0</v>
      </c>
      <c r="AJ417" s="456"/>
      <c r="AK417" s="451">
        <f t="shared" si="226"/>
        <v>0</v>
      </c>
      <c r="AL417" s="87">
        <f t="shared" si="208"/>
        <v>0</v>
      </c>
      <c r="AM417" s="453">
        <f t="shared" si="227"/>
        <v>0</v>
      </c>
      <c r="AN417" s="451">
        <f t="shared" si="228"/>
        <v>0</v>
      </c>
      <c r="AO417" s="208">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199"/>
        <v>TOTAL VARIABLES</v>
      </c>
      <c r="B418" s="159"/>
      <c r="C418" s="23"/>
      <c r="D418" s="23"/>
      <c r="E418" s="23"/>
      <c r="F418" s="23"/>
      <c r="G418" s="23"/>
      <c r="H418" s="23"/>
      <c r="I418" s="23"/>
      <c r="J418" s="23"/>
      <c r="K418" s="23"/>
      <c r="L418" s="23"/>
      <c r="M418" s="1065"/>
      <c r="N418" s="1070"/>
      <c r="O418" s="1070"/>
      <c r="P418" s="1066"/>
      <c r="Q418" s="1069"/>
      <c r="R418" s="79"/>
      <c r="S418" s="1067"/>
      <c r="T418" s="1067"/>
      <c r="U418" s="79"/>
      <c r="V418" s="461" t="s">
        <v>110</v>
      </c>
      <c r="W418" s="88"/>
      <c r="X418" s="89">
        <f>Z418/Z406</f>
        <v>0.23510219653204367</v>
      </c>
      <c r="Y418" s="88"/>
      <c r="Z418" s="90">
        <f>SUM(Z408:Z417)</f>
        <v>1504208.9551495907</v>
      </c>
      <c r="AA418" s="89">
        <f>AC418/AC406</f>
        <v>0.23510219653204367</v>
      </c>
      <c r="AB418" s="88"/>
      <c r="AC418" s="90">
        <f>SUM(AC408:AC417)</f>
        <v>1504208.9551495907</v>
      </c>
      <c r="AD418" s="91" t="e">
        <f>AF418/AF406</f>
        <v>#DIV/0!</v>
      </c>
      <c r="AE418" s="88"/>
      <c r="AF418" s="90">
        <f>SUM(AF408:AF417)</f>
        <v>0</v>
      </c>
      <c r="AG418" s="92"/>
      <c r="AH418" s="93">
        <f>AF418-AC418</f>
        <v>-1504208.9551495907</v>
      </c>
      <c r="AI418" s="89">
        <f>AH418/AC418</f>
        <v>-1</v>
      </c>
      <c r="AJ418" s="91">
        <f>IF($AL$406=0,0,AL418/$AL$406)</f>
        <v>0.24723229598136623</v>
      </c>
      <c r="AK418" s="88"/>
      <c r="AL418" s="90">
        <f>SUM(AL408:AL417)</f>
        <v>1428740.34</v>
      </c>
      <c r="AM418" s="94"/>
      <c r="AN418" s="93">
        <f t="shared" si="210"/>
        <v>-1428740.34</v>
      </c>
      <c r="AO418" s="447">
        <f>IF(AL418=0,0,AN418/AL418)</f>
        <v>-1</v>
      </c>
      <c r="AP418" s="101">
        <f>AF418-Print_Mois!AF418</f>
        <v>0</v>
      </c>
      <c r="AQ418" s="90">
        <v>1738686.8299999998</v>
      </c>
      <c r="AR418" s="90">
        <f t="shared" si="211"/>
        <v>-1738686.8299999998</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199"/>
        <v>Salaires propriétaire</v>
      </c>
      <c r="B419" s="159"/>
      <c r="C419" s="23"/>
      <c r="D419" s="23"/>
      <c r="E419" s="23"/>
      <c r="F419" s="23"/>
      <c r="G419" s="23"/>
      <c r="H419" s="23"/>
      <c r="I419" s="23"/>
      <c r="J419" s="23"/>
      <c r="K419" s="23"/>
      <c r="L419" s="23"/>
      <c r="M419" s="95"/>
      <c r="N419" s="95"/>
      <c r="O419" s="95"/>
      <c r="P419" s="1066"/>
      <c r="Q419" s="1069"/>
      <c r="R419" s="79"/>
      <c r="S419" s="947"/>
      <c r="T419" s="947"/>
      <c r="U419" s="1078"/>
      <c r="V419" s="299" t="s">
        <v>213</v>
      </c>
      <c r="W419" s="454" t="s">
        <v>214</v>
      </c>
      <c r="X419" s="449"/>
      <c r="Y419" s="449"/>
      <c r="Z419" s="87">
        <f>+SUMPRODUCT(('Budget original'!$A$8:$A$500=$A419)*('Budget original'!$C$3:$AO$3=Z$2),'Budget original'!$C$8:$AO$500)</f>
        <v>153160.14853333335</v>
      </c>
      <c r="AA419" s="449"/>
      <c r="AB419" s="449"/>
      <c r="AC419" s="87">
        <f>+SUMPRODUCT(('Budget révisé'!$A$8:$A$500=$A419)*('Budget révisé'!$C$3:$AO$3=AC$2),'Budget révisé'!$C$8:$AO$500)</f>
        <v>153160.14853333335</v>
      </c>
      <c r="AD419" s="456"/>
      <c r="AE419" s="455"/>
      <c r="AF419" s="87">
        <f>SUMIFS(BV_Data_An_Cour!$Q:$Q,BV_Data_An_Cour!$W:$W,$V419)</f>
        <v>0</v>
      </c>
      <c r="AG419" s="450"/>
      <c r="AH419" s="451">
        <f t="shared" ref="AH419:AH430" si="230">AF419-AC419</f>
        <v>-153160.14853333335</v>
      </c>
      <c r="AI419" s="452">
        <f>IF(AC419=0,0,AH419/AC419)</f>
        <v>-1</v>
      </c>
      <c r="AJ419" s="456"/>
      <c r="AK419" s="449"/>
      <c r="AL419" s="87">
        <f>SUMIFS(BV_Data_An_Prec!$P:$P,BV_Data_An_Prec!$V:$V,$V419)</f>
        <v>45588.039999999994</v>
      </c>
      <c r="AM419" s="453"/>
      <c r="AN419" s="451">
        <f t="shared" si="210"/>
        <v>-45588.039999999994</v>
      </c>
      <c r="AO419" s="208">
        <f t="shared" ref="AO419:AO430" si="231">IF(AL419=0,0,AN419/AL419)</f>
        <v>-1</v>
      </c>
      <c r="AP419" s="101">
        <f>AF419-Print_Mois!AF419</f>
        <v>0</v>
      </c>
      <c r="AQ419" s="87">
        <v>67828.150000000009</v>
      </c>
      <c r="AR419" s="87">
        <f t="shared" si="211"/>
        <v>-67828.150000000009</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199"/>
        <v>Salaires cadres</v>
      </c>
      <c r="B420" s="159"/>
      <c r="C420" s="23"/>
      <c r="D420" s="23"/>
      <c r="E420" s="23"/>
      <c r="F420" s="23"/>
      <c r="G420" s="23"/>
      <c r="H420" s="23"/>
      <c r="I420" s="23"/>
      <c r="J420" s="23"/>
      <c r="K420" s="23"/>
      <c r="L420" s="23"/>
      <c r="M420" s="95"/>
      <c r="N420" s="95"/>
      <c r="O420" s="95"/>
      <c r="P420" s="1066"/>
      <c r="Q420" s="1069"/>
      <c r="R420" s="79"/>
      <c r="S420" s="1067"/>
      <c r="T420" s="1067"/>
      <c r="U420" s="1078"/>
      <c r="V420" s="299" t="s">
        <v>112</v>
      </c>
      <c r="W420" s="454" t="s">
        <v>215</v>
      </c>
      <c r="X420" s="449"/>
      <c r="Y420" s="449"/>
      <c r="Z420" s="87">
        <f t="shared" ref="Z420:Z431" si="232">+SUMIF($C:$C,$V420,F:F)</f>
        <v>379845.49425287364</v>
      </c>
      <c r="AA420" s="449"/>
      <c r="AB420" s="449"/>
      <c r="AC420" s="87">
        <f t="shared" ref="AC420:AC431" si="233">+SUMIF($C:$C,$V420,I:I)</f>
        <v>379845.49425287364</v>
      </c>
      <c r="AD420" s="456"/>
      <c r="AE420" s="455"/>
      <c r="AF420" s="87">
        <f t="shared" ref="AF420:AF431" si="234">+SUMIF($C:$C,$V420,L:L)</f>
        <v>0</v>
      </c>
      <c r="AG420" s="450"/>
      <c r="AH420" s="451">
        <f t="shared" si="230"/>
        <v>-379845.49425287364</v>
      </c>
      <c r="AI420" s="452">
        <f t="shared" ref="AI420:AI430" si="235">IF(AC420=0,0,AH420/AC420)</f>
        <v>-1</v>
      </c>
      <c r="AJ420" s="456"/>
      <c r="AK420" s="449"/>
      <c r="AL420" s="87">
        <f t="shared" ref="AL420:AL431" si="236">+SUMIF($C:$C,$V420,Q:Q)</f>
        <v>467174.66000000003</v>
      </c>
      <c r="AM420" s="453"/>
      <c r="AN420" s="451">
        <f t="shared" si="210"/>
        <v>-467174.66000000003</v>
      </c>
      <c r="AO420" s="208">
        <f t="shared" si="231"/>
        <v>-1</v>
      </c>
      <c r="AP420" s="101">
        <f>AF420-Print_Mois!AF420</f>
        <v>0</v>
      </c>
      <c r="AQ420" s="87">
        <v>549294.62</v>
      </c>
      <c r="AR420" s="87">
        <f t="shared" si="211"/>
        <v>-549294.62</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199"/>
        <v>Salaires commis</v>
      </c>
      <c r="B421" s="159"/>
      <c r="C421" s="79"/>
      <c r="D421" s="79"/>
      <c r="E421" s="79"/>
      <c r="F421" s="79"/>
      <c r="G421" s="79"/>
      <c r="H421" s="79"/>
      <c r="I421" s="79"/>
      <c r="J421" s="79"/>
      <c r="K421" s="79"/>
      <c r="L421" s="23"/>
      <c r="M421" s="95"/>
      <c r="N421" s="95"/>
      <c r="O421" s="95"/>
      <c r="P421" s="1071"/>
      <c r="Q421" s="1069"/>
      <c r="R421" s="79"/>
      <c r="S421" s="1067"/>
      <c r="T421" s="1067"/>
      <c r="U421" s="1078"/>
      <c r="V421" s="300" t="s">
        <v>113</v>
      </c>
      <c r="W421" s="457" t="s">
        <v>216</v>
      </c>
      <c r="X421" s="439"/>
      <c r="Y421" s="439"/>
      <c r="Z421" s="440">
        <f t="shared" si="232"/>
        <v>262669.30504459771</v>
      </c>
      <c r="AA421" s="439"/>
      <c r="AB421" s="439"/>
      <c r="AC421" s="440">
        <f t="shared" si="233"/>
        <v>262669.30504459771</v>
      </c>
      <c r="AD421" s="459"/>
      <c r="AE421" s="458"/>
      <c r="AF421" s="440">
        <f t="shared" si="234"/>
        <v>0</v>
      </c>
      <c r="AG421" s="441"/>
      <c r="AH421" s="442">
        <f t="shared" si="230"/>
        <v>-262669.30504459771</v>
      </c>
      <c r="AI421" s="460">
        <f t="shared" si="235"/>
        <v>-1</v>
      </c>
      <c r="AJ421" s="459"/>
      <c r="AK421" s="439"/>
      <c r="AL421" s="440">
        <f t="shared" si="236"/>
        <v>240165.93999999997</v>
      </c>
      <c r="AM421" s="444"/>
      <c r="AN421" s="442">
        <f t="shared" si="210"/>
        <v>-240165.93999999997</v>
      </c>
      <c r="AO421" s="445">
        <f t="shared" si="231"/>
        <v>-1</v>
      </c>
      <c r="AP421" s="101">
        <f>AF421-Print_Mois!AF421</f>
        <v>0</v>
      </c>
      <c r="AQ421" s="440">
        <v>289205.88</v>
      </c>
      <c r="AR421" s="440">
        <f t="shared" si="211"/>
        <v>-289205.88</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199"/>
        <v>Salaires autres</v>
      </c>
      <c r="B422" s="159"/>
      <c r="C422" s="79"/>
      <c r="D422" s="79"/>
      <c r="E422" s="79"/>
      <c r="F422" s="79"/>
      <c r="G422" s="79"/>
      <c r="H422" s="79"/>
      <c r="I422" s="79"/>
      <c r="J422" s="79"/>
      <c r="K422" s="79"/>
      <c r="L422" s="79"/>
      <c r="M422" s="96"/>
      <c r="N422" s="96"/>
      <c r="O422" s="96"/>
      <c r="P422" s="947"/>
      <c r="Q422" s="1069"/>
      <c r="R422" s="79"/>
      <c r="S422" s="1067"/>
      <c r="T422" s="1067"/>
      <c r="U422" s="23"/>
      <c r="V422" s="274" t="s">
        <v>114</v>
      </c>
      <c r="W422" s="454" t="s">
        <v>217</v>
      </c>
      <c r="X422" s="449"/>
      <c r="Y422" s="449"/>
      <c r="Z422" s="87">
        <f t="shared" si="232"/>
        <v>559149.60158528737</v>
      </c>
      <c r="AA422" s="449"/>
      <c r="AB422" s="449"/>
      <c r="AC422" s="87">
        <f t="shared" si="233"/>
        <v>559149.60158528737</v>
      </c>
      <c r="AD422" s="456"/>
      <c r="AE422" s="455"/>
      <c r="AF422" s="87">
        <f t="shared" si="234"/>
        <v>0</v>
      </c>
      <c r="AG422" s="450"/>
      <c r="AH422" s="451">
        <f t="shared" si="230"/>
        <v>-559149.60158528737</v>
      </c>
      <c r="AI422" s="452">
        <f t="shared" si="235"/>
        <v>-1</v>
      </c>
      <c r="AJ422" s="456"/>
      <c r="AK422" s="449"/>
      <c r="AL422" s="87">
        <f t="shared" si="236"/>
        <v>509455.97</v>
      </c>
      <c r="AM422" s="453"/>
      <c r="AN422" s="451">
        <f t="shared" si="210"/>
        <v>-509455.97</v>
      </c>
      <c r="AO422" s="208">
        <f t="shared" si="231"/>
        <v>-1</v>
      </c>
      <c r="AP422" s="101">
        <f>AF422-Print_Mois!AF422</f>
        <v>0</v>
      </c>
      <c r="AQ422" s="87">
        <v>622600.68999999994</v>
      </c>
      <c r="AR422" s="87">
        <f t="shared" si="211"/>
        <v>-622600.68999999994</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199"/>
        <v>Salaires spécialistes</v>
      </c>
      <c r="B423" s="159"/>
      <c r="C423" s="79"/>
      <c r="D423" s="79"/>
      <c r="E423" s="79"/>
      <c r="F423" s="79"/>
      <c r="G423" s="79"/>
      <c r="H423" s="79"/>
      <c r="I423" s="79"/>
      <c r="J423" s="79"/>
      <c r="K423" s="79"/>
      <c r="L423" s="79"/>
      <c r="M423" s="96"/>
      <c r="N423" s="1070"/>
      <c r="O423" s="1072"/>
      <c r="P423" s="1066"/>
      <c r="Q423" s="1069"/>
      <c r="R423" s="79"/>
      <c r="S423" s="1067"/>
      <c r="T423" s="1067"/>
      <c r="U423" s="79"/>
      <c r="V423" s="274" t="s">
        <v>115</v>
      </c>
      <c r="W423" s="454" t="s">
        <v>218</v>
      </c>
      <c r="X423" s="449"/>
      <c r="Y423" s="449"/>
      <c r="Z423" s="87">
        <f t="shared" si="232"/>
        <v>326414.41770514182</v>
      </c>
      <c r="AA423" s="449"/>
      <c r="AB423" s="449"/>
      <c r="AC423" s="87">
        <f t="shared" si="233"/>
        <v>326414.41770514182</v>
      </c>
      <c r="AD423" s="456"/>
      <c r="AE423" s="455"/>
      <c r="AF423" s="87">
        <f t="shared" si="234"/>
        <v>0</v>
      </c>
      <c r="AG423" s="450"/>
      <c r="AH423" s="451">
        <f t="shared" si="230"/>
        <v>-326414.41770514182</v>
      </c>
      <c r="AI423" s="452">
        <f t="shared" si="235"/>
        <v>-1</v>
      </c>
      <c r="AJ423" s="456"/>
      <c r="AK423" s="449"/>
      <c r="AL423" s="87">
        <f t="shared" si="236"/>
        <v>254826.47999999998</v>
      </c>
      <c r="AM423" s="453"/>
      <c r="AN423" s="451">
        <f t="shared" si="210"/>
        <v>-254826.47999999998</v>
      </c>
      <c r="AO423" s="208">
        <f t="shared" si="231"/>
        <v>-1</v>
      </c>
      <c r="AP423" s="101">
        <f>AF423-Print_Mois!AF423</f>
        <v>0</v>
      </c>
      <c r="AQ423" s="87">
        <v>313152.77</v>
      </c>
      <c r="AR423" s="87">
        <f t="shared" si="211"/>
        <v>-313152.77</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199"/>
        <v>[...]</v>
      </c>
      <c r="B424" s="159"/>
      <c r="C424" s="79"/>
      <c r="D424" s="79"/>
      <c r="E424" s="79"/>
      <c r="F424" s="79"/>
      <c r="G424" s="79"/>
      <c r="H424" s="79"/>
      <c r="I424" s="79"/>
      <c r="J424" s="79"/>
      <c r="K424" s="79"/>
      <c r="L424" s="79"/>
      <c r="M424" s="96"/>
      <c r="N424" s="57"/>
      <c r="O424" s="1072"/>
      <c r="P424" s="1071"/>
      <c r="Q424" s="1076"/>
      <c r="R424" s="79"/>
      <c r="S424" s="1067"/>
      <c r="T424" s="1067"/>
      <c r="U424" s="79"/>
      <c r="V424" s="274" t="s">
        <v>42</v>
      </c>
      <c r="W424" s="454"/>
      <c r="X424" s="449"/>
      <c r="Y424" s="449"/>
      <c r="Z424" s="87">
        <f t="shared" si="232"/>
        <v>0</v>
      </c>
      <c r="AA424" s="449"/>
      <c r="AB424" s="449"/>
      <c r="AC424" s="87">
        <f t="shared" si="233"/>
        <v>0</v>
      </c>
      <c r="AD424" s="456"/>
      <c r="AE424" s="455"/>
      <c r="AF424" s="87">
        <f t="shared" si="234"/>
        <v>0</v>
      </c>
      <c r="AG424" s="450"/>
      <c r="AH424" s="451">
        <f t="shared" ref="AH424:AH426" si="237">AF424-AC424</f>
        <v>0</v>
      </c>
      <c r="AI424" s="452">
        <f t="shared" ref="AI424:AI426" si="238">IF(AC424=0,0,AH424/AC424)</f>
        <v>0</v>
      </c>
      <c r="AJ424" s="456"/>
      <c r="AK424" s="449"/>
      <c r="AL424" s="87">
        <f t="shared" si="236"/>
        <v>0</v>
      </c>
      <c r="AM424" s="453"/>
      <c r="AN424" s="451">
        <f t="shared" ref="AN424:AN426" si="239">AF424-AL424</f>
        <v>0</v>
      </c>
      <c r="AO424" s="208">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199"/>
        <v>[...]</v>
      </c>
      <c r="B425" s="159"/>
      <c r="C425" s="79"/>
      <c r="D425" s="79"/>
      <c r="E425" s="79"/>
      <c r="F425" s="79"/>
      <c r="G425" s="79"/>
      <c r="H425" s="79"/>
      <c r="I425" s="79"/>
      <c r="J425" s="79"/>
      <c r="K425" s="79"/>
      <c r="L425" s="79"/>
      <c r="M425" s="96"/>
      <c r="N425" s="57"/>
      <c r="O425" s="1072"/>
      <c r="P425" s="1071"/>
      <c r="Q425" s="1076"/>
      <c r="R425" s="79"/>
      <c r="S425" s="1067"/>
      <c r="T425" s="1067"/>
      <c r="U425" s="79"/>
      <c r="V425" s="274" t="s">
        <v>42</v>
      </c>
      <c r="W425" s="454"/>
      <c r="X425" s="449"/>
      <c r="Y425" s="449"/>
      <c r="Z425" s="87">
        <f t="shared" si="232"/>
        <v>0</v>
      </c>
      <c r="AA425" s="449"/>
      <c r="AB425" s="449"/>
      <c r="AC425" s="87">
        <f t="shared" si="233"/>
        <v>0</v>
      </c>
      <c r="AD425" s="456"/>
      <c r="AE425" s="455"/>
      <c r="AF425" s="87">
        <f t="shared" si="234"/>
        <v>0</v>
      </c>
      <c r="AG425" s="450"/>
      <c r="AH425" s="451">
        <f t="shared" si="237"/>
        <v>0</v>
      </c>
      <c r="AI425" s="452">
        <f t="shared" si="238"/>
        <v>0</v>
      </c>
      <c r="AJ425" s="456"/>
      <c r="AK425" s="449"/>
      <c r="AL425" s="87">
        <f t="shared" si="236"/>
        <v>0</v>
      </c>
      <c r="AM425" s="453"/>
      <c r="AN425" s="451">
        <f t="shared" si="239"/>
        <v>0</v>
      </c>
      <c r="AO425" s="208">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199"/>
        <v>[...]</v>
      </c>
      <c r="B426" s="159"/>
      <c r="C426" s="79"/>
      <c r="D426" s="79"/>
      <c r="E426" s="79"/>
      <c r="F426" s="79"/>
      <c r="G426" s="79"/>
      <c r="H426" s="79"/>
      <c r="I426" s="79"/>
      <c r="J426" s="79"/>
      <c r="K426" s="79"/>
      <c r="L426" s="79"/>
      <c r="M426" s="96"/>
      <c r="N426" s="57"/>
      <c r="O426" s="1072"/>
      <c r="P426" s="1071"/>
      <c r="Q426" s="1076"/>
      <c r="R426" s="79"/>
      <c r="S426" s="1067"/>
      <c r="T426" s="1067"/>
      <c r="U426" s="79"/>
      <c r="V426" s="274" t="s">
        <v>42</v>
      </c>
      <c r="W426" s="454"/>
      <c r="X426" s="449"/>
      <c r="Y426" s="449"/>
      <c r="Z426" s="87">
        <f t="shared" si="232"/>
        <v>0</v>
      </c>
      <c r="AA426" s="449"/>
      <c r="AB426" s="449"/>
      <c r="AC426" s="87">
        <f t="shared" si="233"/>
        <v>0</v>
      </c>
      <c r="AD426" s="456"/>
      <c r="AE426" s="455"/>
      <c r="AF426" s="87">
        <f t="shared" si="234"/>
        <v>0</v>
      </c>
      <c r="AG426" s="450"/>
      <c r="AH426" s="451">
        <f t="shared" si="237"/>
        <v>0</v>
      </c>
      <c r="AI426" s="452">
        <f t="shared" si="238"/>
        <v>0</v>
      </c>
      <c r="AJ426" s="456"/>
      <c r="AK426" s="449"/>
      <c r="AL426" s="87">
        <f t="shared" si="236"/>
        <v>0</v>
      </c>
      <c r="AM426" s="453"/>
      <c r="AN426" s="451">
        <f t="shared" si="239"/>
        <v>0</v>
      </c>
      <c r="AO426" s="208">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199"/>
        <v>Salaires en absences</v>
      </c>
      <c r="B427" s="159"/>
      <c r="C427" s="79"/>
      <c r="D427" s="79"/>
      <c r="E427" s="79"/>
      <c r="F427" s="79"/>
      <c r="G427" s="79"/>
      <c r="H427" s="79"/>
      <c r="I427" s="79"/>
      <c r="J427" s="79"/>
      <c r="K427" s="79"/>
      <c r="L427" s="23"/>
      <c r="M427" s="96"/>
      <c r="N427" s="57"/>
      <c r="O427" s="1072"/>
      <c r="P427" s="1071"/>
      <c r="Q427" s="1076"/>
      <c r="R427" s="79"/>
      <c r="S427" s="1067"/>
      <c r="T427" s="1067"/>
      <c r="U427" s="79"/>
      <c r="V427" s="276" t="s">
        <v>116</v>
      </c>
      <c r="W427" s="457" t="s">
        <v>219</v>
      </c>
      <c r="X427" s="439"/>
      <c r="Y427" s="439"/>
      <c r="Z427" s="440">
        <f t="shared" si="232"/>
        <v>396589.9688075899</v>
      </c>
      <c r="AA427" s="439"/>
      <c r="AB427" s="439"/>
      <c r="AC427" s="440">
        <f t="shared" si="233"/>
        <v>396589.9688075899</v>
      </c>
      <c r="AD427" s="459"/>
      <c r="AE427" s="458"/>
      <c r="AF427" s="440">
        <f t="shared" si="234"/>
        <v>0</v>
      </c>
      <c r="AG427" s="441"/>
      <c r="AH427" s="442">
        <f t="shared" si="230"/>
        <v>-396589.9688075899</v>
      </c>
      <c r="AI427" s="460">
        <f t="shared" si="235"/>
        <v>-1</v>
      </c>
      <c r="AJ427" s="459"/>
      <c r="AK427" s="439"/>
      <c r="AL427" s="440">
        <f t="shared" si="236"/>
        <v>349855.47</v>
      </c>
      <c r="AM427" s="444"/>
      <c r="AN427" s="442">
        <f t="shared" si="210"/>
        <v>-349855.47</v>
      </c>
      <c r="AO427" s="209">
        <f t="shared" si="231"/>
        <v>-1</v>
      </c>
      <c r="AP427" s="101">
        <f>AF427-Print_Mois!AF427</f>
        <v>0</v>
      </c>
      <c r="AQ427" s="440">
        <v>448116.67</v>
      </c>
      <c r="AR427" s="440">
        <f t="shared" si="211"/>
        <v>-448116.67</v>
      </c>
      <c r="AS427" s="79"/>
      <c r="AT427" s="79" t="s">
        <v>2956</v>
      </c>
      <c r="AU427" s="79"/>
      <c r="AV427" s="79"/>
      <c r="AW427" s="79"/>
      <c r="AX427" s="79"/>
      <c r="AY427" s="79"/>
      <c r="AZ427" s="79"/>
      <c r="BA427" s="79"/>
      <c r="BB427" s="79"/>
      <c r="BC427" s="79"/>
      <c r="BD427" s="79"/>
      <c r="BE427" s="79"/>
      <c r="BF427" s="79"/>
      <c r="BG427" s="79"/>
      <c r="BH427" s="79"/>
      <c r="BI427" s="79"/>
    </row>
    <row r="428" spans="1:61" ht="15.75" customHeight="1">
      <c r="A428" s="564" t="str">
        <f t="shared" si="199"/>
        <v>Déduction à la source</v>
      </c>
      <c r="B428" s="159"/>
      <c r="C428" s="79"/>
      <c r="D428" s="79"/>
      <c r="E428" s="79"/>
      <c r="F428" s="79"/>
      <c r="G428" s="79"/>
      <c r="H428" s="79"/>
      <c r="I428" s="79"/>
      <c r="J428" s="79"/>
      <c r="K428" s="79"/>
      <c r="L428" s="23"/>
      <c r="M428" s="96"/>
      <c r="N428" s="96"/>
      <c r="O428" s="96"/>
      <c r="P428" s="1071"/>
      <c r="Q428" s="1069"/>
      <c r="R428" s="79"/>
      <c r="S428" s="947"/>
      <c r="T428" s="947"/>
      <c r="U428" s="1078"/>
      <c r="V428" s="274" t="s">
        <v>117</v>
      </c>
      <c r="W428" s="454" t="s">
        <v>220</v>
      </c>
      <c r="X428" s="449"/>
      <c r="Y428" s="449"/>
      <c r="Z428" s="87">
        <f t="shared" si="232"/>
        <v>355186.96981113957</v>
      </c>
      <c r="AA428" s="449"/>
      <c r="AB428" s="449"/>
      <c r="AC428" s="87">
        <f t="shared" si="233"/>
        <v>355186.96981113957</v>
      </c>
      <c r="AD428" s="456"/>
      <c r="AE428" s="455"/>
      <c r="AF428" s="87">
        <f t="shared" si="234"/>
        <v>0</v>
      </c>
      <c r="AG428" s="450"/>
      <c r="AH428" s="451">
        <f t="shared" si="230"/>
        <v>-355186.96981113957</v>
      </c>
      <c r="AI428" s="452">
        <f t="shared" si="235"/>
        <v>-1</v>
      </c>
      <c r="AJ428" s="456"/>
      <c r="AK428" s="449"/>
      <c r="AL428" s="87">
        <f t="shared" si="236"/>
        <v>320462.48000000004</v>
      </c>
      <c r="AM428" s="453"/>
      <c r="AN428" s="451">
        <f t="shared" si="210"/>
        <v>-320462.48000000004</v>
      </c>
      <c r="AO428" s="208">
        <f t="shared" si="231"/>
        <v>-1</v>
      </c>
      <c r="AP428" s="101">
        <f>AF428-Print_Mois!AF428</f>
        <v>0</v>
      </c>
      <c r="AQ428" s="87">
        <v>385921.10000000003</v>
      </c>
      <c r="AR428" s="87">
        <f t="shared" si="211"/>
        <v>-385921.10000000003</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199"/>
        <v>Bénéfices marginaux</v>
      </c>
      <c r="B429" s="159"/>
      <c r="C429" s="79"/>
      <c r="D429" s="79"/>
      <c r="E429" s="79"/>
      <c r="F429" s="79"/>
      <c r="G429" s="79"/>
      <c r="H429" s="79"/>
      <c r="I429" s="79"/>
      <c r="J429" s="79"/>
      <c r="K429" s="79"/>
      <c r="L429" s="23"/>
      <c r="M429" s="96"/>
      <c r="N429" s="96"/>
      <c r="O429" s="96"/>
      <c r="P429" s="1071"/>
      <c r="Q429" s="1069"/>
      <c r="R429" s="79"/>
      <c r="S429" s="1067"/>
      <c r="T429" s="1067"/>
      <c r="U429" s="1078"/>
      <c r="V429" s="274" t="s">
        <v>118</v>
      </c>
      <c r="W429" s="454" t="s">
        <v>221</v>
      </c>
      <c r="X429" s="449"/>
      <c r="Y429" s="449"/>
      <c r="Z429" s="87">
        <f t="shared" si="232"/>
        <v>282060.24073237559</v>
      </c>
      <c r="AA429" s="449"/>
      <c r="AB429" s="449"/>
      <c r="AC429" s="87">
        <f t="shared" si="233"/>
        <v>282060.24073237559</v>
      </c>
      <c r="AD429" s="456"/>
      <c r="AE429" s="455"/>
      <c r="AF429" s="87">
        <f t="shared" si="234"/>
        <v>0</v>
      </c>
      <c r="AG429" s="450"/>
      <c r="AH429" s="451">
        <f t="shared" si="230"/>
        <v>-282060.24073237559</v>
      </c>
      <c r="AI429" s="452">
        <f t="shared" si="235"/>
        <v>-1</v>
      </c>
      <c r="AJ429" s="456"/>
      <c r="AK429" s="449"/>
      <c r="AL429" s="87">
        <f t="shared" si="236"/>
        <v>253402.17999999996</v>
      </c>
      <c r="AM429" s="453"/>
      <c r="AN429" s="451">
        <f t="shared" si="210"/>
        <v>-253402.17999999996</v>
      </c>
      <c r="AO429" s="208">
        <f t="shared" si="231"/>
        <v>-1</v>
      </c>
      <c r="AP429" s="101">
        <f>AF429-Print_Mois!AF429</f>
        <v>0</v>
      </c>
      <c r="AQ429" s="87">
        <v>304590.91000000003</v>
      </c>
      <c r="AR429" s="87">
        <f t="shared" si="211"/>
        <v>-304590.91000000003</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199"/>
        <v>Csst</v>
      </c>
      <c r="B430" s="159"/>
      <c r="C430" s="79"/>
      <c r="D430" s="79"/>
      <c r="E430" s="79"/>
      <c r="F430" s="79"/>
      <c r="G430" s="79"/>
      <c r="H430" s="79"/>
      <c r="I430" s="79"/>
      <c r="J430" s="79"/>
      <c r="K430" s="79"/>
      <c r="L430" s="23"/>
      <c r="M430" s="96"/>
      <c r="N430" s="96"/>
      <c r="O430" s="96"/>
      <c r="P430" s="1071"/>
      <c r="Q430" s="1069"/>
      <c r="R430" s="79"/>
      <c r="S430" s="1067"/>
      <c r="T430" s="1067"/>
      <c r="U430" s="1078"/>
      <c r="V430" s="274" t="s">
        <v>119</v>
      </c>
      <c r="W430" s="454"/>
      <c r="X430" s="449"/>
      <c r="Y430" s="449"/>
      <c r="Z430" s="87">
        <f t="shared" si="232"/>
        <v>114913.43140948635</v>
      </c>
      <c r="AA430" s="449"/>
      <c r="AB430" s="449"/>
      <c r="AC430" s="87">
        <f t="shared" si="233"/>
        <v>114913.43140948635</v>
      </c>
      <c r="AD430" s="456"/>
      <c r="AE430" s="455"/>
      <c r="AF430" s="87">
        <f t="shared" si="234"/>
        <v>0</v>
      </c>
      <c r="AG430" s="450"/>
      <c r="AH430" s="451">
        <f t="shared" si="230"/>
        <v>-114913.43140948635</v>
      </c>
      <c r="AI430" s="97">
        <f t="shared" si="235"/>
        <v>-1</v>
      </c>
      <c r="AJ430" s="456"/>
      <c r="AK430" s="449"/>
      <c r="AL430" s="87">
        <f t="shared" si="236"/>
        <v>102629.35</v>
      </c>
      <c r="AM430" s="453"/>
      <c r="AN430" s="451">
        <f t="shared" si="210"/>
        <v>-102629.35</v>
      </c>
      <c r="AO430" s="208">
        <f t="shared" si="231"/>
        <v>-1</v>
      </c>
      <c r="AP430" s="101">
        <f>AF430-Print_Mois!AF430</f>
        <v>0</v>
      </c>
      <c r="AQ430" s="87">
        <v>169569.68</v>
      </c>
      <c r="AR430" s="87">
        <f t="shared" si="211"/>
        <v>-169569.68</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199"/>
        <v>[...]</v>
      </c>
      <c r="B431" s="159"/>
      <c r="C431" s="23"/>
      <c r="D431" s="23"/>
      <c r="E431" s="23"/>
      <c r="F431" s="23"/>
      <c r="G431" s="23"/>
      <c r="H431" s="23"/>
      <c r="I431" s="23"/>
      <c r="J431" s="23"/>
      <c r="K431" s="23"/>
      <c r="L431" s="23"/>
      <c r="M431" s="23"/>
      <c r="N431" s="23"/>
      <c r="O431" s="23"/>
      <c r="P431" s="1066"/>
      <c r="Q431" s="1069"/>
      <c r="R431" s="79"/>
      <c r="S431" s="1067"/>
      <c r="T431" s="1067"/>
      <c r="U431" s="23"/>
      <c r="V431" s="285" t="s">
        <v>42</v>
      </c>
      <c r="W431" s="454"/>
      <c r="X431" s="449"/>
      <c r="Y431" s="455"/>
      <c r="Z431" s="87">
        <f t="shared" si="232"/>
        <v>0</v>
      </c>
      <c r="AA431" s="449"/>
      <c r="AB431" s="455"/>
      <c r="AC431" s="87">
        <f t="shared" si="233"/>
        <v>0</v>
      </c>
      <c r="AD431" s="456"/>
      <c r="AE431" s="455"/>
      <c r="AF431" s="87">
        <f t="shared" si="234"/>
        <v>0</v>
      </c>
      <c r="AG431" s="450"/>
      <c r="AH431" s="451"/>
      <c r="AI431" s="452"/>
      <c r="AJ431" s="456"/>
      <c r="AK431" s="451"/>
      <c r="AL431" s="87">
        <f t="shared" si="236"/>
        <v>0</v>
      </c>
      <c r="AM431" s="453"/>
      <c r="AN431" s="451"/>
      <c r="AO431" s="209"/>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199"/>
        <v>TOTAL PERSONNEL</v>
      </c>
      <c r="B432" s="159"/>
      <c r="C432" s="79"/>
      <c r="D432" s="79"/>
      <c r="E432" s="79"/>
      <c r="F432" s="79"/>
      <c r="G432" s="79"/>
      <c r="H432" s="79"/>
      <c r="I432" s="79"/>
      <c r="J432" s="79"/>
      <c r="K432" s="79"/>
      <c r="L432" s="947"/>
      <c r="M432" s="947"/>
      <c r="N432" s="947"/>
      <c r="O432" s="1073"/>
      <c r="P432" s="947"/>
      <c r="Q432" s="1077"/>
      <c r="R432" s="79"/>
      <c r="S432" s="1067"/>
      <c r="T432" s="1067"/>
      <c r="U432" s="79"/>
      <c r="V432" s="461" t="s">
        <v>120</v>
      </c>
      <c r="W432" s="88"/>
      <c r="X432" s="89">
        <f>Z432/Z406</f>
        <v>0.44231671646752152</v>
      </c>
      <c r="Y432" s="88"/>
      <c r="Z432" s="90">
        <f>SUM(Z419:Z431)</f>
        <v>2829989.5778818256</v>
      </c>
      <c r="AA432" s="89">
        <f>AC432/AC406</f>
        <v>0.44231671646752152</v>
      </c>
      <c r="AB432" s="88"/>
      <c r="AC432" s="90">
        <f>SUM(AC419:AC431)</f>
        <v>2829989.5778818256</v>
      </c>
      <c r="AD432" s="91" t="e">
        <f>AF432/AF406</f>
        <v>#DIV/0!</v>
      </c>
      <c r="AE432" s="98"/>
      <c r="AF432" s="90">
        <f>SUM(AF419:AF431)</f>
        <v>0</v>
      </c>
      <c r="AG432" s="99"/>
      <c r="AH432" s="93">
        <f t="shared" ref="AH432:AH446" si="241">AF432-AC432</f>
        <v>-2829989.5778818256</v>
      </c>
      <c r="AI432" s="89">
        <f>AH432/AC432</f>
        <v>-1</v>
      </c>
      <c r="AJ432" s="91">
        <f>IF($AL$406=0,0,AL432/$AL$406)</f>
        <v>0.44014318213257186</v>
      </c>
      <c r="AK432" s="88"/>
      <c r="AL432" s="90">
        <f>SUM(AL419:AL431)</f>
        <v>2543560.5700000003</v>
      </c>
      <c r="AM432" s="100"/>
      <c r="AN432" s="93">
        <f t="shared" ref="AN432:AN446" si="242">AF432-AL432</f>
        <v>-2543560.5700000003</v>
      </c>
      <c r="AO432" s="447">
        <f>IF(AL432=0,0,AN432/AL432)</f>
        <v>-1</v>
      </c>
      <c r="AP432" s="101">
        <f>AF432-Print_Mois!AF432</f>
        <v>0</v>
      </c>
      <c r="AQ432" s="90">
        <v>3150280.47</v>
      </c>
      <c r="AR432" s="90">
        <f t="shared" si="211"/>
        <v>-3150280.47</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199"/>
        <v>Publicité 2</v>
      </c>
      <c r="B433" s="159"/>
      <c r="C433" s="79"/>
      <c r="D433" s="79"/>
      <c r="E433" s="79"/>
      <c r="F433" s="79"/>
      <c r="G433" s="79"/>
      <c r="H433" s="79"/>
      <c r="I433" s="79"/>
      <c r="J433" s="79"/>
      <c r="K433" s="79"/>
      <c r="L433" s="79"/>
      <c r="M433" s="1073"/>
      <c r="N433" s="1070"/>
      <c r="O433" s="1074"/>
      <c r="P433" s="1066"/>
      <c r="Q433" s="1069"/>
      <c r="R433" s="79"/>
      <c r="S433" s="947"/>
      <c r="T433" s="947"/>
      <c r="U433" s="79"/>
      <c r="V433" s="294" t="s">
        <v>121</v>
      </c>
      <c r="W433" s="462" t="s">
        <v>211</v>
      </c>
      <c r="X433" s="463"/>
      <c r="Y433" s="463"/>
      <c r="Z433" s="464">
        <f t="shared" ref="Z433:Z450" si="243">+SUMIF($C:$C,$V433,F:F)</f>
        <v>106442.49999999999</v>
      </c>
      <c r="AA433" s="463"/>
      <c r="AB433" s="463"/>
      <c r="AC433" s="464">
        <f t="shared" ref="AC433:AC450" si="244">+SUMIF($C:$C,$V433,I:I)</f>
        <v>106442.49999999999</v>
      </c>
      <c r="AD433" s="465"/>
      <c r="AE433" s="466"/>
      <c r="AF433" s="464">
        <f t="shared" ref="AF433:AF446" si="245">+SUMIF($C:$C,$V433,L:L)</f>
        <v>0</v>
      </c>
      <c r="AG433" s="465"/>
      <c r="AH433" s="467">
        <f t="shared" si="241"/>
        <v>-106442.49999999999</v>
      </c>
      <c r="AI433" s="468">
        <f>IF(AC433=0,0,AH433/AC433)</f>
        <v>-1</v>
      </c>
      <c r="AJ433" s="465"/>
      <c r="AK433" s="463"/>
      <c r="AL433" s="464">
        <f t="shared" ref="AL433:AL450" si="246">+SUMIF($C:$C,$V433,Q:Q)</f>
        <v>99430.709999999992</v>
      </c>
      <c r="AM433" s="469"/>
      <c r="AN433" s="467">
        <f t="shared" si="242"/>
        <v>-99430.709999999992</v>
      </c>
      <c r="AO433" s="207">
        <f t="shared" ref="AO433:AO446" si="247">IF(AL433=0,0,AN433/AL433)</f>
        <v>-1</v>
      </c>
      <c r="AP433" s="101">
        <f>AF433-Print_Mois!AF433</f>
        <v>0</v>
      </c>
      <c r="AQ433" s="464">
        <v>125430</v>
      </c>
      <c r="AR433" s="464">
        <f t="shared" si="211"/>
        <v>-125430</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199"/>
        <v>Service gratuit 2</v>
      </c>
      <c r="B434" s="159"/>
      <c r="C434" s="79"/>
      <c r="D434" s="79"/>
      <c r="E434" s="79"/>
      <c r="F434" s="79"/>
      <c r="G434" s="79"/>
      <c r="H434" s="79"/>
      <c r="I434" s="79"/>
      <c r="J434" s="79"/>
      <c r="K434" s="79"/>
      <c r="L434" s="79"/>
      <c r="M434" s="79"/>
      <c r="N434" s="947"/>
      <c r="O434" s="1072"/>
      <c r="P434" s="1075"/>
      <c r="Q434" s="1076"/>
      <c r="R434" s="79"/>
      <c r="S434" s="947"/>
      <c r="T434" s="947"/>
      <c r="U434" s="79"/>
      <c r="V434" s="299" t="s">
        <v>122</v>
      </c>
      <c r="W434" s="454" t="s">
        <v>222</v>
      </c>
      <c r="X434" s="449"/>
      <c r="Y434" s="449"/>
      <c r="Z434" s="87">
        <f t="shared" si="243"/>
        <v>36500.257753387406</v>
      </c>
      <c r="AA434" s="449"/>
      <c r="AB434" s="449"/>
      <c r="AC434" s="87">
        <f t="shared" si="244"/>
        <v>36500.257753387406</v>
      </c>
      <c r="AD434" s="456"/>
      <c r="AE434" s="455"/>
      <c r="AF434" s="87">
        <f t="shared" si="245"/>
        <v>0</v>
      </c>
      <c r="AG434" s="450"/>
      <c r="AH434" s="451">
        <f t="shared" si="241"/>
        <v>-36500.257753387406</v>
      </c>
      <c r="AI434" s="452">
        <f t="shared" ref="AI434:AI446" si="248">IF(AC434=0,0,AH434/AC434)</f>
        <v>-1</v>
      </c>
      <c r="AJ434" s="456"/>
      <c r="AK434" s="449"/>
      <c r="AL434" s="87">
        <f t="shared" si="246"/>
        <v>40044.53</v>
      </c>
      <c r="AM434" s="453"/>
      <c r="AN434" s="451">
        <f t="shared" si="242"/>
        <v>-40044.53</v>
      </c>
      <c r="AO434" s="208">
        <f t="shared" si="247"/>
        <v>-1</v>
      </c>
      <c r="AP434" s="101">
        <f>AF434-Print_Mois!AF434</f>
        <v>0</v>
      </c>
      <c r="AQ434" s="87">
        <v>49781.939999999995</v>
      </c>
      <c r="AR434" s="87">
        <f t="shared" si="211"/>
        <v>-49781.939999999995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199"/>
        <v>Frais véhicules de cie</v>
      </c>
      <c r="B435" s="159"/>
      <c r="C435" s="79"/>
      <c r="D435" s="79"/>
      <c r="E435" s="79"/>
      <c r="F435" s="79"/>
      <c r="G435" s="79"/>
      <c r="H435" s="79"/>
      <c r="I435" s="79"/>
      <c r="J435" s="79"/>
      <c r="K435" s="79"/>
      <c r="L435" s="23"/>
      <c r="M435" s="96"/>
      <c r="N435" s="96"/>
      <c r="O435" s="96"/>
      <c r="P435" s="1075"/>
      <c r="Q435" s="1076"/>
      <c r="R435" s="79"/>
      <c r="S435" s="947"/>
      <c r="T435" s="947"/>
      <c r="U435" s="79"/>
      <c r="V435" s="300" t="s">
        <v>123</v>
      </c>
      <c r="W435" s="457" t="s">
        <v>223</v>
      </c>
      <c r="X435" s="439"/>
      <c r="Y435" s="439"/>
      <c r="Z435" s="440">
        <f t="shared" si="243"/>
        <v>211249.14444444445</v>
      </c>
      <c r="AA435" s="439"/>
      <c r="AB435" s="439"/>
      <c r="AC435" s="440">
        <f t="shared" si="244"/>
        <v>211249.14444444445</v>
      </c>
      <c r="AD435" s="459"/>
      <c r="AE435" s="458"/>
      <c r="AF435" s="440">
        <f t="shared" si="245"/>
        <v>0</v>
      </c>
      <c r="AG435" s="441"/>
      <c r="AH435" s="442">
        <f t="shared" si="241"/>
        <v>-211249.14444444445</v>
      </c>
      <c r="AI435" s="460">
        <f t="shared" si="248"/>
        <v>-1</v>
      </c>
      <c r="AJ435" s="459"/>
      <c r="AK435" s="439"/>
      <c r="AL435" s="440">
        <f t="shared" si="246"/>
        <v>223066.53</v>
      </c>
      <c r="AM435" s="444"/>
      <c r="AN435" s="442">
        <f t="shared" si="242"/>
        <v>-223066.53</v>
      </c>
      <c r="AO435" s="445">
        <f t="shared" si="247"/>
        <v>-1</v>
      </c>
      <c r="AP435" s="101">
        <f>AF435-Print_Mois!AF435</f>
        <v>0</v>
      </c>
      <c r="AQ435" s="440">
        <v>264277.83</v>
      </c>
      <c r="AR435" s="440">
        <f t="shared" si="211"/>
        <v>-264277.83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199"/>
        <v>Informatique</v>
      </c>
      <c r="B436" s="159"/>
      <c r="C436" s="79"/>
      <c r="D436" s="79"/>
      <c r="E436" s="79"/>
      <c r="F436" s="79"/>
      <c r="G436" s="79"/>
      <c r="H436" s="79"/>
      <c r="I436" s="79"/>
      <c r="J436" s="79"/>
      <c r="K436" s="79"/>
      <c r="L436" s="23"/>
      <c r="M436" s="96"/>
      <c r="N436" s="96"/>
      <c r="O436" s="96"/>
      <c r="P436" s="1075"/>
      <c r="Q436" s="1076"/>
      <c r="R436" s="79"/>
      <c r="S436" s="947"/>
      <c r="T436" s="947"/>
      <c r="U436" s="79"/>
      <c r="V436" s="299" t="s">
        <v>124</v>
      </c>
      <c r="W436" s="454" t="s">
        <v>224</v>
      </c>
      <c r="X436" s="449"/>
      <c r="Y436" s="449"/>
      <c r="Z436" s="87">
        <f t="shared" si="243"/>
        <v>200342.08566666668</v>
      </c>
      <c r="AA436" s="449"/>
      <c r="AB436" s="449"/>
      <c r="AC436" s="87">
        <f t="shared" si="244"/>
        <v>200342.08566666668</v>
      </c>
      <c r="AD436" s="456"/>
      <c r="AE436" s="455"/>
      <c r="AF436" s="87">
        <f t="shared" si="245"/>
        <v>0</v>
      </c>
      <c r="AG436" s="450"/>
      <c r="AH436" s="451">
        <f t="shared" si="241"/>
        <v>-200342.08566666668</v>
      </c>
      <c r="AI436" s="452">
        <f t="shared" si="248"/>
        <v>-1</v>
      </c>
      <c r="AJ436" s="456"/>
      <c r="AK436" s="449"/>
      <c r="AL436" s="87">
        <f t="shared" si="246"/>
        <v>163620.99</v>
      </c>
      <c r="AM436" s="453"/>
      <c r="AN436" s="451">
        <f t="shared" si="242"/>
        <v>-163620.99</v>
      </c>
      <c r="AO436" s="208">
        <f t="shared" si="247"/>
        <v>-1</v>
      </c>
      <c r="AP436" s="101">
        <f>AF436-Print_Mois!AF436</f>
        <v>0</v>
      </c>
      <c r="AQ436" s="87">
        <v>196527.27999999997</v>
      </c>
      <c r="AR436" s="87">
        <f t="shared" si="211"/>
        <v>-196527.27999999997</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199"/>
        <v>Frais de déplacement</v>
      </c>
      <c r="B437" s="159"/>
      <c r="C437" s="79"/>
      <c r="D437" s="79"/>
      <c r="E437" s="79"/>
      <c r="F437" s="79"/>
      <c r="G437" s="79"/>
      <c r="H437" s="79"/>
      <c r="I437" s="79"/>
      <c r="J437" s="79"/>
      <c r="K437" s="79"/>
      <c r="L437" s="23"/>
      <c r="M437" s="96"/>
      <c r="N437" s="96"/>
      <c r="O437" s="96"/>
      <c r="P437" s="1075"/>
      <c r="Q437" s="1076"/>
      <c r="R437" s="79"/>
      <c r="S437" s="947"/>
      <c r="T437" s="947"/>
      <c r="U437" s="79"/>
      <c r="V437" s="299" t="s">
        <v>125</v>
      </c>
      <c r="W437" s="454" t="s">
        <v>225</v>
      </c>
      <c r="X437" s="449"/>
      <c r="Y437" s="449"/>
      <c r="Z437" s="87">
        <f t="shared" si="243"/>
        <v>24754.431250000005</v>
      </c>
      <c r="AA437" s="449"/>
      <c r="AB437" s="449"/>
      <c r="AC437" s="87">
        <f t="shared" si="244"/>
        <v>24754.431250000005</v>
      </c>
      <c r="AD437" s="456"/>
      <c r="AE437" s="455"/>
      <c r="AF437" s="87">
        <f t="shared" si="245"/>
        <v>0</v>
      </c>
      <c r="AG437" s="450"/>
      <c r="AH437" s="451">
        <f t="shared" si="241"/>
        <v>-24754.431250000005</v>
      </c>
      <c r="AI437" s="452">
        <f t="shared" si="248"/>
        <v>-1</v>
      </c>
      <c r="AJ437" s="456"/>
      <c r="AK437" s="449"/>
      <c r="AL437" s="87">
        <f t="shared" si="246"/>
        <v>16934.230000000003</v>
      </c>
      <c r="AM437" s="453"/>
      <c r="AN437" s="451">
        <f t="shared" si="242"/>
        <v>-16934.230000000003</v>
      </c>
      <c r="AO437" s="208">
        <f t="shared" si="247"/>
        <v>-1</v>
      </c>
      <c r="AP437" s="101">
        <f>AF437-Print_Mois!AF437</f>
        <v>0</v>
      </c>
      <c r="AQ437" s="87">
        <v>23315.16</v>
      </c>
      <c r="AR437" s="87">
        <f t="shared" si="211"/>
        <v>-23315.16</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199"/>
        <v>Services extérieurs</v>
      </c>
      <c r="B438" s="159"/>
      <c r="C438" s="79"/>
      <c r="D438" s="79"/>
      <c r="E438" s="79"/>
      <c r="F438" s="79"/>
      <c r="G438" s="79"/>
      <c r="H438" s="79"/>
      <c r="I438" s="79"/>
      <c r="J438" s="79"/>
      <c r="K438" s="79"/>
      <c r="L438" s="23"/>
      <c r="M438" s="23"/>
      <c r="N438" s="23"/>
      <c r="O438" s="95"/>
      <c r="P438" s="1075"/>
      <c r="Q438" s="1069"/>
      <c r="R438" s="79"/>
      <c r="S438" s="947"/>
      <c r="T438" s="947"/>
      <c r="U438" s="79"/>
      <c r="V438" s="299" t="s">
        <v>126</v>
      </c>
      <c r="W438" s="454" t="s">
        <v>226</v>
      </c>
      <c r="X438" s="449"/>
      <c r="Y438" s="449"/>
      <c r="Z438" s="87">
        <f t="shared" si="243"/>
        <v>204655.91845555557</v>
      </c>
      <c r="AA438" s="449"/>
      <c r="AB438" s="449"/>
      <c r="AC438" s="87">
        <f t="shared" si="244"/>
        <v>204655.91845555557</v>
      </c>
      <c r="AD438" s="456"/>
      <c r="AE438" s="455"/>
      <c r="AF438" s="87">
        <f t="shared" si="245"/>
        <v>0</v>
      </c>
      <c r="AG438" s="450"/>
      <c r="AH438" s="451">
        <f t="shared" si="241"/>
        <v>-204655.91845555557</v>
      </c>
      <c r="AI438" s="452">
        <f t="shared" si="248"/>
        <v>-1</v>
      </c>
      <c r="AJ438" s="456"/>
      <c r="AK438" s="449"/>
      <c r="AL438" s="87">
        <f t="shared" si="246"/>
        <v>167269.59</v>
      </c>
      <c r="AM438" s="453"/>
      <c r="AN438" s="451">
        <f t="shared" si="242"/>
        <v>-167269.59</v>
      </c>
      <c r="AO438" s="208">
        <f t="shared" si="247"/>
        <v>-1</v>
      </c>
      <c r="AP438" s="101">
        <f>AF438-Print_Mois!AF438</f>
        <v>0</v>
      </c>
      <c r="AQ438" s="87">
        <v>210105.43</v>
      </c>
      <c r="AR438" s="87">
        <f t="shared" si="211"/>
        <v>-210105.43</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3"/>
      <c r="N439" s="1070"/>
      <c r="O439" s="1072"/>
      <c r="P439" s="1075"/>
      <c r="Q439" s="79"/>
      <c r="R439" s="79"/>
      <c r="S439" s="947"/>
      <c r="T439" s="947"/>
      <c r="U439" s="79"/>
      <c r="V439" s="680" t="s">
        <v>1989</v>
      </c>
      <c r="W439" s="681"/>
      <c r="X439" s="682"/>
      <c r="Y439" s="682"/>
      <c r="Z439" s="683">
        <f t="shared" si="243"/>
        <v>0</v>
      </c>
      <c r="AA439" s="682"/>
      <c r="AB439" s="682"/>
      <c r="AC439" s="683">
        <f t="shared" si="244"/>
        <v>0</v>
      </c>
      <c r="AD439" s="684"/>
      <c r="AE439" s="685"/>
      <c r="AF439" s="683">
        <f t="shared" si="245"/>
        <v>0</v>
      </c>
      <c r="AG439" s="686"/>
      <c r="AH439" s="687">
        <f t="shared" ref="AH439" si="249">AF439-AC439</f>
        <v>0</v>
      </c>
      <c r="AI439" s="688">
        <f t="shared" ref="AI439" si="250">IF(AC439=0,0,AH439/AC439)</f>
        <v>0</v>
      </c>
      <c r="AJ439" s="684"/>
      <c r="AK439" s="682"/>
      <c r="AL439" s="683">
        <f t="shared" si="246"/>
        <v>0</v>
      </c>
      <c r="AM439" s="689"/>
      <c r="AN439" s="687">
        <f t="shared" ref="AN439" si="251">AF439-AL439</f>
        <v>0</v>
      </c>
      <c r="AO439" s="690">
        <f t="shared" ref="AO439" si="252">IF(AL439=0,0,AN439/AL439)</f>
        <v>0</v>
      </c>
      <c r="AP439" s="101">
        <f>AF439-Print_Mois!AF439</f>
        <v>0</v>
      </c>
      <c r="AQ439" s="683">
        <v>0</v>
      </c>
      <c r="AR439" s="683">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3">+U440&amp;V440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3"/>
        <v>14881.950685907985</v>
      </c>
      <c r="AA440" s="449"/>
      <c r="AB440" s="455"/>
      <c r="AC440" s="87">
        <f t="shared" si="244"/>
        <v>14881.950685907985</v>
      </c>
      <c r="AD440" s="456"/>
      <c r="AE440" s="455"/>
      <c r="AF440" s="87">
        <f t="shared" si="245"/>
        <v>0</v>
      </c>
      <c r="AG440" s="450"/>
      <c r="AH440" s="451">
        <f t="shared" si="241"/>
        <v>-14881.950685907985</v>
      </c>
      <c r="AI440" s="452">
        <f t="shared" si="248"/>
        <v>-1</v>
      </c>
      <c r="AJ440" s="456"/>
      <c r="AK440" s="449"/>
      <c r="AL440" s="87">
        <f t="shared" si="246"/>
        <v>11102.54</v>
      </c>
      <c r="AM440" s="453"/>
      <c r="AN440" s="451">
        <f t="shared" si="242"/>
        <v>-11102.54</v>
      </c>
      <c r="AO440" s="208">
        <f t="shared" si="247"/>
        <v>-1</v>
      </c>
      <c r="AP440" s="101">
        <f>AF440-Print_Mois!AF440</f>
        <v>0</v>
      </c>
      <c r="AQ440" s="87">
        <v>11807.78</v>
      </c>
      <c r="AR440" s="87">
        <f t="shared" si="211"/>
        <v>-11807.78</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3"/>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3"/>
        <v>7907.8773810179191</v>
      </c>
      <c r="AA441" s="449"/>
      <c r="AB441" s="449"/>
      <c r="AC441" s="87">
        <f t="shared" si="244"/>
        <v>7907.8773810179191</v>
      </c>
      <c r="AD441" s="456"/>
      <c r="AE441" s="455"/>
      <c r="AF441" s="87">
        <f t="shared" si="245"/>
        <v>0</v>
      </c>
      <c r="AG441" s="450"/>
      <c r="AH441" s="451">
        <f t="shared" si="241"/>
        <v>-7907.8773810179191</v>
      </c>
      <c r="AI441" s="97">
        <f t="shared" si="248"/>
        <v>-1</v>
      </c>
      <c r="AJ441" s="456"/>
      <c r="AK441" s="449"/>
      <c r="AL441" s="87">
        <f t="shared" si="246"/>
        <v>6558.14</v>
      </c>
      <c r="AM441" s="453"/>
      <c r="AN441" s="451">
        <f t="shared" si="242"/>
        <v>-6558.14</v>
      </c>
      <c r="AO441" s="208">
        <f t="shared" si="247"/>
        <v>-1</v>
      </c>
      <c r="AP441" s="101">
        <f>AF441-Print_Mois!AF441</f>
        <v>0</v>
      </c>
      <c r="AQ441" s="87">
        <v>8653.5300000000007</v>
      </c>
      <c r="AR441" s="87">
        <f t="shared" si="211"/>
        <v>-8653.5300000000007</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3"/>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3"/>
        <v>20402.010000000002</v>
      </c>
      <c r="AA442" s="449"/>
      <c r="AB442" s="449"/>
      <c r="AC442" s="87">
        <f t="shared" si="244"/>
        <v>20402.010000000002</v>
      </c>
      <c r="AD442" s="456"/>
      <c r="AE442" s="455"/>
      <c r="AF442" s="87">
        <f t="shared" si="245"/>
        <v>0</v>
      </c>
      <c r="AG442" s="450"/>
      <c r="AH442" s="451">
        <f t="shared" si="241"/>
        <v>-20402.010000000002</v>
      </c>
      <c r="AI442" s="452">
        <f t="shared" si="248"/>
        <v>-1</v>
      </c>
      <c r="AJ442" s="456"/>
      <c r="AK442" s="449"/>
      <c r="AL442" s="87">
        <f t="shared" si="246"/>
        <v>19920.330000000002</v>
      </c>
      <c r="AM442" s="453"/>
      <c r="AN442" s="451">
        <f t="shared" si="242"/>
        <v>-19920.330000000002</v>
      </c>
      <c r="AO442" s="208">
        <f t="shared" si="247"/>
        <v>-1</v>
      </c>
      <c r="AP442" s="101">
        <f>AF442-Print_Mois!AF442</f>
        <v>0</v>
      </c>
      <c r="AQ442" s="87">
        <v>23241.73</v>
      </c>
      <c r="AR442" s="87">
        <f t="shared" si="211"/>
        <v>-23241.73</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3"/>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3"/>
        <v>9420.7664583333335</v>
      </c>
      <c r="AA443" s="449"/>
      <c r="AB443" s="449"/>
      <c r="AC443" s="87">
        <f t="shared" si="244"/>
        <v>9420.7664583333335</v>
      </c>
      <c r="AD443" s="456"/>
      <c r="AE443" s="455"/>
      <c r="AF443" s="87">
        <f t="shared" si="245"/>
        <v>0</v>
      </c>
      <c r="AG443" s="450"/>
      <c r="AH443" s="451">
        <f t="shared" si="241"/>
        <v>-9420.7664583333335</v>
      </c>
      <c r="AI443" s="97">
        <f t="shared" si="248"/>
        <v>-1</v>
      </c>
      <c r="AJ443" s="456"/>
      <c r="AK443" s="449"/>
      <c r="AL443" s="87">
        <f t="shared" si="246"/>
        <v>8513.130000000001</v>
      </c>
      <c r="AM443" s="453"/>
      <c r="AN443" s="451">
        <f t="shared" si="242"/>
        <v>-8513.130000000001</v>
      </c>
      <c r="AO443" s="208">
        <f t="shared" si="247"/>
        <v>-1</v>
      </c>
      <c r="AP443" s="101">
        <f>AF443-Print_Mois!AF443</f>
        <v>0</v>
      </c>
      <c r="AQ443" s="87">
        <v>9864.81</v>
      </c>
      <c r="AR443" s="87">
        <f t="shared" si="211"/>
        <v>-9864.81</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3"/>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3"/>
        <v>5028.6585416666658</v>
      </c>
      <c r="AA444" s="449"/>
      <c r="AB444" s="449"/>
      <c r="AC444" s="87">
        <f t="shared" si="244"/>
        <v>5028.6585416666658</v>
      </c>
      <c r="AD444" s="456"/>
      <c r="AE444" s="455"/>
      <c r="AF444" s="87">
        <f t="shared" si="245"/>
        <v>0</v>
      </c>
      <c r="AG444" s="450"/>
      <c r="AH444" s="451">
        <f t="shared" si="241"/>
        <v>-5028.6585416666658</v>
      </c>
      <c r="AI444" s="452">
        <f t="shared" si="248"/>
        <v>-1</v>
      </c>
      <c r="AJ444" s="456"/>
      <c r="AK444" s="449"/>
      <c r="AL444" s="87">
        <f t="shared" si="246"/>
        <v>4707.3200000000006</v>
      </c>
      <c r="AM444" s="453"/>
      <c r="AN444" s="451">
        <f t="shared" si="242"/>
        <v>-4707.3200000000006</v>
      </c>
      <c r="AO444" s="208">
        <f t="shared" si="247"/>
        <v>-1</v>
      </c>
      <c r="AP444" s="101">
        <f>AF444-Print_Mois!AF444</f>
        <v>0</v>
      </c>
      <c r="AQ444" s="87">
        <v>5873.8099999999995</v>
      </c>
      <c r="AR444" s="87">
        <f t="shared" si="211"/>
        <v>-5873.8099999999995</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3"/>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3"/>
        <v>24257.299791666661</v>
      </c>
      <c r="AA445" s="449"/>
      <c r="AB445" s="455"/>
      <c r="AC445" s="87">
        <f t="shared" si="244"/>
        <v>24257.299791666661</v>
      </c>
      <c r="AD445" s="456"/>
      <c r="AE445" s="455"/>
      <c r="AF445" s="87">
        <f t="shared" si="245"/>
        <v>0</v>
      </c>
      <c r="AG445" s="450"/>
      <c r="AH445" s="451">
        <f t="shared" si="241"/>
        <v>-24257.299791666661</v>
      </c>
      <c r="AI445" s="97">
        <f t="shared" si="248"/>
        <v>-1</v>
      </c>
      <c r="AJ445" s="456"/>
      <c r="AK445" s="449"/>
      <c r="AL445" s="87">
        <f t="shared" si="246"/>
        <v>24694.800000000003</v>
      </c>
      <c r="AM445" s="453"/>
      <c r="AN445" s="451">
        <f t="shared" si="242"/>
        <v>-24694.800000000003</v>
      </c>
      <c r="AO445" s="208">
        <f t="shared" si="247"/>
        <v>-1</v>
      </c>
      <c r="AP445" s="101">
        <f>AF445-Print_Mois!AF445</f>
        <v>0</v>
      </c>
      <c r="AQ445" s="87">
        <v>30968.560000000001</v>
      </c>
      <c r="AR445" s="87">
        <f t="shared" si="211"/>
        <v>-30968.560000000001</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3"/>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3"/>
        <v>36039.258333333331</v>
      </c>
      <c r="AA446" s="449"/>
      <c r="AB446" s="455"/>
      <c r="AC446" s="87">
        <f t="shared" si="244"/>
        <v>36039.258333333331</v>
      </c>
      <c r="AD446" s="456"/>
      <c r="AE446" s="455"/>
      <c r="AF446" s="87">
        <f t="shared" si="245"/>
        <v>0</v>
      </c>
      <c r="AG446" s="450"/>
      <c r="AH446" s="451">
        <f t="shared" si="241"/>
        <v>-36039.258333333331</v>
      </c>
      <c r="AI446" s="452">
        <f t="shared" si="248"/>
        <v>-1</v>
      </c>
      <c r="AJ446" s="456"/>
      <c r="AK446" s="449"/>
      <c r="AL446" s="87">
        <f t="shared" si="246"/>
        <v>21477.93</v>
      </c>
      <c r="AM446" s="453"/>
      <c r="AN446" s="451">
        <f t="shared" si="242"/>
        <v>-21477.93</v>
      </c>
      <c r="AO446" s="208">
        <f t="shared" si="247"/>
        <v>-1</v>
      </c>
      <c r="AP446" s="101">
        <f>AF446-Print_Mois!AF446</f>
        <v>0</v>
      </c>
      <c r="AQ446" s="87">
        <v>26640.46</v>
      </c>
      <c r="AR446" s="87">
        <f t="shared" si="211"/>
        <v>-26640.46</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64" t="str">
        <f t="shared" si="253"/>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3"/>
        <v>67606.618932912257</v>
      </c>
      <c r="AA447" s="449"/>
      <c r="AB447" s="455"/>
      <c r="AC447" s="87">
        <f t="shared" si="244"/>
        <v>67606.618932912257</v>
      </c>
      <c r="AD447" s="456"/>
      <c r="AE447" s="455"/>
      <c r="AF447" s="440">
        <f>SUMIFS(BV_Data_An_Cour!$Q:$Q,BV_Data_An_Cour!$W:$W,$V447)</f>
        <v>0</v>
      </c>
      <c r="AG447" s="450"/>
      <c r="AH447" s="451">
        <f t="shared" ref="AH447:AH450" si="254">AF447-AC447</f>
        <v>-67606.618932912257</v>
      </c>
      <c r="AI447" s="452">
        <f t="shared" ref="AI447:AI450" si="255">IF(AC447=0,0,AH447/AC447)</f>
        <v>-1</v>
      </c>
      <c r="AJ447" s="456"/>
      <c r="AK447" s="449"/>
      <c r="AL447" s="87">
        <f>SUMIFS(BV_Data_An_Prec!$P:$P,BV_Data_An_Prec!$V:$V,$V447)</f>
        <v>66966.789999999994</v>
      </c>
      <c r="AM447" s="453"/>
      <c r="AN447" s="451">
        <f t="shared" ref="AN447:AN450" si="256">AF447-AL447</f>
        <v>-66966.789999999994</v>
      </c>
      <c r="AO447" s="208">
        <f t="shared" ref="AO447:AO450" si="257">IF(AL447=0,0,AN447/AL447)</f>
        <v>-1</v>
      </c>
      <c r="AP447" s="101">
        <f>AF447-Print_Mois!AF447</f>
        <v>0</v>
      </c>
      <c r="AQ447" s="440">
        <v>86028.79</v>
      </c>
      <c r="AR447" s="440">
        <f t="shared" si="211"/>
        <v>-86028.79</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3"/>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3"/>
        <v>0</v>
      </c>
      <c r="AA448" s="449"/>
      <c r="AB448" s="455"/>
      <c r="AC448" s="87">
        <f t="shared" si="244"/>
        <v>0</v>
      </c>
      <c r="AD448" s="456"/>
      <c r="AE448" s="455"/>
      <c r="AF448" s="87">
        <f>+SUMIF($C:$C,$V448,L:L)</f>
        <v>0</v>
      </c>
      <c r="AG448" s="450"/>
      <c r="AH448" s="451">
        <f t="shared" si="254"/>
        <v>0</v>
      </c>
      <c r="AI448" s="452">
        <f t="shared" si="255"/>
        <v>0</v>
      </c>
      <c r="AJ448" s="456"/>
      <c r="AK448" s="449"/>
      <c r="AL448" s="87">
        <f t="shared" si="246"/>
        <v>0</v>
      </c>
      <c r="AM448" s="453"/>
      <c r="AN448" s="451">
        <f t="shared" si="256"/>
        <v>0</v>
      </c>
      <c r="AO448" s="208">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3"/>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3"/>
        <v>0</v>
      </c>
      <c r="AA449" s="449"/>
      <c r="AB449" s="455"/>
      <c r="AC449" s="87">
        <f t="shared" si="244"/>
        <v>0</v>
      </c>
      <c r="AD449" s="456"/>
      <c r="AE449" s="455"/>
      <c r="AF449" s="87">
        <f>+SUMIF($C:$C,$V449,L:L)</f>
        <v>0</v>
      </c>
      <c r="AG449" s="450"/>
      <c r="AH449" s="451">
        <f t="shared" si="254"/>
        <v>0</v>
      </c>
      <c r="AI449" s="452">
        <f t="shared" si="255"/>
        <v>0</v>
      </c>
      <c r="AJ449" s="456"/>
      <c r="AK449" s="449"/>
      <c r="AL449" s="87">
        <f t="shared" si="246"/>
        <v>0</v>
      </c>
      <c r="AM449" s="453"/>
      <c r="AN449" s="451">
        <f t="shared" si="256"/>
        <v>0</v>
      </c>
      <c r="AO449" s="208">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3"/>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3"/>
        <v>0</v>
      </c>
      <c r="AA450" s="449"/>
      <c r="AB450" s="455"/>
      <c r="AC450" s="87">
        <f t="shared" si="244"/>
        <v>0</v>
      </c>
      <c r="AD450" s="456"/>
      <c r="AE450" s="455"/>
      <c r="AF450" s="87">
        <f>+SUMIF($C:$C,$V450,L:L)</f>
        <v>0</v>
      </c>
      <c r="AG450" s="450"/>
      <c r="AH450" s="451">
        <f t="shared" si="254"/>
        <v>0</v>
      </c>
      <c r="AI450" s="452">
        <f t="shared" si="255"/>
        <v>0</v>
      </c>
      <c r="AJ450" s="456"/>
      <c r="AK450" s="449"/>
      <c r="AL450" s="87">
        <f t="shared" si="246"/>
        <v>0</v>
      </c>
      <c r="AM450" s="453"/>
      <c r="AN450" s="451">
        <f t="shared" si="256"/>
        <v>0</v>
      </c>
      <c r="AO450" s="208">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3"/>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0.15152744595019929</v>
      </c>
      <c r="Y451" s="88"/>
      <c r="Z451" s="90">
        <f>+SUM(Z433:Z450)</f>
        <v>969488.77769489225</v>
      </c>
      <c r="AA451" s="89">
        <f>AC451/+AC406</f>
        <v>0.15152744595019929</v>
      </c>
      <c r="AB451" s="88"/>
      <c r="AC451" s="90">
        <f>+SUM(AC433:AC450)</f>
        <v>969488.77769489225</v>
      </c>
      <c r="AD451" s="91" t="e">
        <f>AF451/AF406</f>
        <v>#DIV/0!</v>
      </c>
      <c r="AE451" s="88"/>
      <c r="AF451" s="90">
        <f>+SUM(AF433:AF450)</f>
        <v>0</v>
      </c>
      <c r="AG451" s="99"/>
      <c r="AH451" s="549">
        <f>+SUM(AH433:AH450)</f>
        <v>-969488.77769489225</v>
      </c>
      <c r="AI451" s="89">
        <f>AH451/AC451</f>
        <v>-1</v>
      </c>
      <c r="AJ451" s="91">
        <f>IF($AL$406=0,0,AL451/$AL$406)</f>
        <v>0.15129205734658974</v>
      </c>
      <c r="AK451" s="89"/>
      <c r="AL451" s="90">
        <f>+SUM(AL433:AL450)</f>
        <v>874307.56</v>
      </c>
      <c r="AM451" s="100"/>
      <c r="AN451" s="93">
        <f>+SUM(AN433:AN450)</f>
        <v>-874307.56</v>
      </c>
      <c r="AO451" s="630">
        <f>IF(AL451=0,0,AN451/AL451)</f>
        <v>-1</v>
      </c>
      <c r="AP451" s="101">
        <f>AF451-Print_Mois!AF451</f>
        <v>0</v>
      </c>
      <c r="AQ451" s="90">
        <v>1072517.1100000003</v>
      </c>
      <c r="AR451" s="90">
        <f t="shared" si="211"/>
        <v>-1072517.1100000003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3"/>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260000</v>
      </c>
      <c r="AA452" s="449"/>
      <c r="AB452" s="455"/>
      <c r="AC452" s="87">
        <f>+SUMPRODUCT(('Budget révisé'!$A$8:$A$500=$A452)*('Budget révisé'!$C$3:$AO$3=AC$2),'Budget révisé'!$C$8:$AO$500)</f>
        <v>260000</v>
      </c>
      <c r="AD452" s="456"/>
      <c r="AE452" s="455"/>
      <c r="AF452" s="87">
        <f>SUMIFS(BV_Data_An_Cour!$Q:$Q,BV_Data_An_Cour!$W:$W,$V452)</f>
        <v>0</v>
      </c>
      <c r="AG452" s="450"/>
      <c r="AH452" s="451">
        <f t="shared" ref="AH452:AH460" si="258">AF452-AC452</f>
        <v>-260000</v>
      </c>
      <c r="AI452" s="452">
        <f>IF(AC452=0,0,AH452/AC452)</f>
        <v>-1</v>
      </c>
      <c r="AJ452" s="456"/>
      <c r="AK452" s="449"/>
      <c r="AL452" s="87">
        <f>SUMIFS(BV_Data_An_Prec!$P:$P,BV_Data_An_Prec!$V:$V,$V452)</f>
        <v>260000</v>
      </c>
      <c r="AM452" s="453"/>
      <c r="AN452" s="451">
        <f t="shared" ref="AN452:AN460" si="259">AF452-AL452</f>
        <v>-260000</v>
      </c>
      <c r="AO452" s="208">
        <f t="shared" ref="AO452:AO460" si="260">IF(AL452=0,0,AN452/AL452)</f>
        <v>-1</v>
      </c>
      <c r="AP452" s="101">
        <f>AF452-Print_Mois!AF452</f>
        <v>0</v>
      </c>
      <c r="AQ452" s="87">
        <v>312000</v>
      </c>
      <c r="AR452" s="87">
        <f t="shared" si="211"/>
        <v>-312000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3"/>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49302.499999999993</v>
      </c>
      <c r="AA453" s="449"/>
      <c r="AB453" s="455"/>
      <c r="AC453" s="87">
        <f>+SUMPRODUCT(('Budget révisé'!$A$8:$A$500=$A453)*('Budget révisé'!$C$3:$AO$3=AC$2),'Budget révisé'!$C$8:$AO$500)</f>
        <v>49302.499999999993</v>
      </c>
      <c r="AD453" s="456"/>
      <c r="AE453" s="455"/>
      <c r="AF453" s="87">
        <f>SUMIFS(BV_Data_An_Cour!$Q:$Q,BV_Data_An_Cour!$W:$W,$V453)</f>
        <v>0</v>
      </c>
      <c r="AG453" s="450"/>
      <c r="AH453" s="451">
        <f t="shared" si="258"/>
        <v>-49302.499999999993</v>
      </c>
      <c r="AI453" s="452">
        <f t="shared" ref="AI453:AI460" si="261">IF(AC453=0,0,AH453/AC453)</f>
        <v>-1</v>
      </c>
      <c r="AJ453" s="456"/>
      <c r="AK453" s="449"/>
      <c r="AL453" s="87">
        <f>SUMIFS(BV_Data_An_Prec!$P:$P,BV_Data_An_Prec!$V:$V,$V453)</f>
        <v>48100</v>
      </c>
      <c r="AM453" s="453"/>
      <c r="AN453" s="451">
        <f t="shared" si="259"/>
        <v>-48100</v>
      </c>
      <c r="AO453" s="208">
        <f t="shared" si="260"/>
        <v>-1</v>
      </c>
      <c r="AP453" s="101">
        <f>AF453-Print_Mois!AF453</f>
        <v>0</v>
      </c>
      <c r="AQ453" s="87">
        <v>56955.519999999997</v>
      </c>
      <c r="AR453" s="87">
        <f t="shared" si="211"/>
        <v>-56955.519999999997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3"/>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32799.999999999993</v>
      </c>
      <c r="AA454" s="439"/>
      <c r="AB454" s="458"/>
      <c r="AC454" s="440">
        <f>+SUMPRODUCT(('Budget révisé'!$A$8:$A$500=$A454)*('Budget révisé'!$C$3:$AO$3=AC$2),'Budget révisé'!$C$8:$AO$500)</f>
        <v>32799.999999999993</v>
      </c>
      <c r="AD454" s="459"/>
      <c r="AE454" s="458"/>
      <c r="AF454" s="440">
        <f>SUMIFS(BV_Data_An_Cour!$Q:$Q,BV_Data_An_Cour!$W:$W,$V454)</f>
        <v>0</v>
      </c>
      <c r="AG454" s="441"/>
      <c r="AH454" s="442">
        <f t="shared" si="258"/>
        <v>-32799.999999999993</v>
      </c>
      <c r="AI454" s="460">
        <f t="shared" si="261"/>
        <v>-1</v>
      </c>
      <c r="AJ454" s="459"/>
      <c r="AK454" s="439"/>
      <c r="AL454" s="440">
        <f>SUMIFS(BV_Data_An_Prec!$P:$P,BV_Data_An_Prec!$V:$V,$V454)</f>
        <v>32000</v>
      </c>
      <c r="AM454" s="444"/>
      <c r="AN454" s="442">
        <f t="shared" si="259"/>
        <v>-32000</v>
      </c>
      <c r="AO454" s="445">
        <f t="shared" si="260"/>
        <v>-1</v>
      </c>
      <c r="AP454" s="101">
        <f>AF454-Print_Mois!AF454</f>
        <v>0</v>
      </c>
      <c r="AQ454" s="440">
        <v>37694.32</v>
      </c>
      <c r="AR454" s="440">
        <f t="shared" si="211"/>
        <v>-37694.32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3"/>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8"/>
        <v>0</v>
      </c>
      <c r="AI455" s="452">
        <f t="shared" si="261"/>
        <v>0</v>
      </c>
      <c r="AJ455" s="456"/>
      <c r="AK455" s="449"/>
      <c r="AL455" s="87">
        <f>SUMIFS(BV_Data_An_Prec!$P:$P,BV_Data_An_Prec!$V:$V,$V455)</f>
        <v>0</v>
      </c>
      <c r="AM455" s="453"/>
      <c r="AN455" s="451">
        <f t="shared" si="259"/>
        <v>0</v>
      </c>
      <c r="AO455" s="208">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3"/>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42705.833333333314</v>
      </c>
      <c r="AA456" s="439"/>
      <c r="AB456" s="458"/>
      <c r="AC456" s="440">
        <f>+SUMPRODUCT(('Budget révisé'!$A$8:$A$500=$A456)*('Budget révisé'!$C$3:$AO$3=AC$2),'Budget révisé'!$C$8:$AO$500)</f>
        <v>42705.833333333314</v>
      </c>
      <c r="AD456" s="459"/>
      <c r="AE456" s="458"/>
      <c r="AF456" s="440">
        <f>SUMIF(BV_Data_An_Cour!$W:$W,Print_AAD!$V456,BV_Data_An_Cour!$Q:$Q)</f>
        <v>0</v>
      </c>
      <c r="AG456" s="441"/>
      <c r="AH456" s="442">
        <f t="shared" si="258"/>
        <v>-42705.833333333314</v>
      </c>
      <c r="AI456" s="460">
        <f t="shared" si="261"/>
        <v>-1</v>
      </c>
      <c r="AJ456" s="459"/>
      <c r="AK456" s="439"/>
      <c r="AL456" s="440">
        <f>SUMIF(BV_Data_An_Prec!$V:$V,Print_AAD!$V456,BV_Data_An_Prec!$P:$P)</f>
        <v>37081.100000000006</v>
      </c>
      <c r="AM456" s="444"/>
      <c r="AN456" s="442">
        <f t="shared" si="259"/>
        <v>-37081.100000000006</v>
      </c>
      <c r="AO456" s="445">
        <f t="shared" si="260"/>
        <v>-1</v>
      </c>
      <c r="AP456" s="101">
        <f>AF456-Print_Mois!AF456</f>
        <v>0</v>
      </c>
      <c r="AQ456" s="440">
        <v>44497.32</v>
      </c>
      <c r="AR456" s="440">
        <f t="shared" si="211"/>
        <v>-44497.32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3"/>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28384.863750000004</v>
      </c>
      <c r="AA457" s="470"/>
      <c r="AB457" s="471"/>
      <c r="AC457" s="87">
        <f>+SUMPRODUCT(('Budget révisé'!$A$8:$A$500=$A457)*('Budget révisé'!$C$3:$AO$3=AC$2),'Budget révisé'!$C$8:$AO$500)</f>
        <v>28384.863750000004</v>
      </c>
      <c r="AD457" s="456"/>
      <c r="AE457" s="455"/>
      <c r="AF457" s="87">
        <f>SUMIFS(BV_Data_An_Cour!$Q:$Q,BV_Data_An_Cour!$W:$W,$V457)</f>
        <v>0</v>
      </c>
      <c r="AG457" s="450"/>
      <c r="AH457" s="451">
        <f t="shared" si="258"/>
        <v>-28384.863750000004</v>
      </c>
      <c r="AI457" s="452">
        <f t="shared" si="261"/>
        <v>-1</v>
      </c>
      <c r="AJ457" s="456"/>
      <c r="AK457" s="449"/>
      <c r="AL457" s="87">
        <f>SUMIFS(BV_Data_An_Prec!$P:$P,BV_Data_An_Prec!$V:$V,$V457)</f>
        <v>26143.29</v>
      </c>
      <c r="AM457" s="453"/>
      <c r="AN457" s="451">
        <f t="shared" si="259"/>
        <v>-26143.29</v>
      </c>
      <c r="AO457" s="208">
        <f t="shared" si="260"/>
        <v>-1</v>
      </c>
      <c r="AP457" s="101">
        <f>AF457-Print_Mois!AF457</f>
        <v>0</v>
      </c>
      <c r="AQ457" s="87">
        <v>32424.07</v>
      </c>
      <c r="AR457" s="87">
        <f t="shared" si="211"/>
        <v>-32424.07</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3"/>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61228.333333333343</v>
      </c>
      <c r="AA458" s="449"/>
      <c r="AB458" s="455"/>
      <c r="AC458" s="87">
        <f>+SUMPRODUCT(('Budget révisé'!$A$8:$A$500=$A458)*('Budget révisé'!$C$3:$AO$3=AC$2),'Budget révisé'!$C$8:$AO$500)</f>
        <v>61228.333333333343</v>
      </c>
      <c r="AD458" s="456"/>
      <c r="AE458" s="455"/>
      <c r="AF458" s="87">
        <f>SUMIFS(BV_Data_An_Cour!$Q:$Q,BV_Data_An_Cour!$W:$W,$V458)</f>
        <v>0</v>
      </c>
      <c r="AG458" s="450"/>
      <c r="AH458" s="451">
        <f t="shared" si="258"/>
        <v>-61228.333333333343</v>
      </c>
      <c r="AI458" s="452">
        <f t="shared" si="261"/>
        <v>-1</v>
      </c>
      <c r="AJ458" s="456"/>
      <c r="AK458" s="449"/>
      <c r="AL458" s="87">
        <f>SUMIFS(BV_Data_An_Prec!$P:$P,BV_Data_An_Prec!$V:$V,$V458)</f>
        <v>64929.1</v>
      </c>
      <c r="AM458" s="453"/>
      <c r="AN458" s="451">
        <f t="shared" si="259"/>
        <v>-64929.1</v>
      </c>
      <c r="AO458" s="208">
        <f t="shared" si="260"/>
        <v>-1</v>
      </c>
      <c r="AP458" s="101">
        <f>AF458-Print_Mois!AF458</f>
        <v>0</v>
      </c>
      <c r="AQ458" s="87">
        <v>77836.53</v>
      </c>
      <c r="AR458" s="87">
        <f t="shared" si="211"/>
        <v>-77836.53</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3"/>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11888.599166666665</v>
      </c>
      <c r="AA459" s="439"/>
      <c r="AB459" s="458"/>
      <c r="AC459" s="440">
        <f>+SUMPRODUCT(('Budget révisé'!$A$8:$A$500=$A459)*('Budget révisé'!$C$3:$AO$3=AC$2),'Budget révisé'!$C$8:$AO$500)</f>
        <v>11888.599166666665</v>
      </c>
      <c r="AD459" s="459"/>
      <c r="AE459" s="458"/>
      <c r="AF459" s="440">
        <f>SUMIFS(BV_Data_An_Cour!$Q:$Q,BV_Data_An_Cour!$W:$W,$V459)</f>
        <v>0</v>
      </c>
      <c r="AG459" s="441"/>
      <c r="AH459" s="442">
        <f t="shared" si="258"/>
        <v>-11888.599166666665</v>
      </c>
      <c r="AI459" s="460">
        <f t="shared" si="261"/>
        <v>-1</v>
      </c>
      <c r="AJ459" s="459"/>
      <c r="AK459" s="439"/>
      <c r="AL459" s="440">
        <f>SUMIFS(BV_Data_An_Prec!$P:$P,BV_Data_An_Prec!$V:$V,$V459)</f>
        <v>11126.99</v>
      </c>
      <c r="AM459" s="444"/>
      <c r="AN459" s="442">
        <f t="shared" si="259"/>
        <v>-11126.99</v>
      </c>
      <c r="AO459" s="445">
        <f t="shared" si="260"/>
        <v>-1</v>
      </c>
      <c r="AP459" s="101">
        <f>AF459-Print_Mois!AF459</f>
        <v>0</v>
      </c>
      <c r="AQ459" s="440">
        <v>13715.12</v>
      </c>
      <c r="AR459" s="440">
        <f t="shared" si="211"/>
        <v>-13715.12</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3"/>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2306.25</v>
      </c>
      <c r="AA460" s="449"/>
      <c r="AB460" s="455"/>
      <c r="AC460" s="87">
        <f>+SUMPRODUCT(('Budget révisé'!$A$8:$A$500=$A460)*('Budget révisé'!$C$3:$AO$3=AC$2),'Budget révisé'!$C$8:$AO$500)</f>
        <v>2306.25</v>
      </c>
      <c r="AD460" s="456"/>
      <c r="AE460" s="455"/>
      <c r="AF460" s="87">
        <f>SUMIFS(BV_Data_An_Cour!$Q:$Q,BV_Data_An_Cour!$W:$W,$V460)</f>
        <v>0</v>
      </c>
      <c r="AG460" s="450"/>
      <c r="AH460" s="451">
        <f t="shared" si="258"/>
        <v>-2306.25</v>
      </c>
      <c r="AI460" s="472">
        <f t="shared" si="261"/>
        <v>-1</v>
      </c>
      <c r="AJ460" s="449"/>
      <c r="AK460" s="449"/>
      <c r="AL460" s="87">
        <f>SUMIFS(BV_Data_An_Prec!$P:$P,BV_Data_An_Prec!$V:$V,$V460)</f>
        <v>0</v>
      </c>
      <c r="AM460" s="453"/>
      <c r="AN460" s="451">
        <f t="shared" si="259"/>
        <v>0</v>
      </c>
      <c r="AO460" s="208">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3"/>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3"/>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3"/>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3"/>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3"/>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7.6368900549559887E-2</v>
      </c>
      <c r="Y465" s="88"/>
      <c r="Z465" s="90">
        <f>SUM(Z452:Z464)</f>
        <v>488616.37958333333</v>
      </c>
      <c r="AA465" s="89">
        <f>AC465/+AC406</f>
        <v>7.6368900549559887E-2</v>
      </c>
      <c r="AB465" s="88"/>
      <c r="AC465" s="90">
        <f>SUM(AC452:AC464)</f>
        <v>488616.37958333333</v>
      </c>
      <c r="AD465" s="91" t="e">
        <f>AF465/AF406</f>
        <v>#DIV/0!</v>
      </c>
      <c r="AE465" s="88"/>
      <c r="AF465" s="90">
        <f>SUM(AF452:AF464)</f>
        <v>0</v>
      </c>
      <c r="AG465" s="99"/>
      <c r="AH465" s="551">
        <f>SUM(AH452:AH464)</f>
        <v>-488616.37958333333</v>
      </c>
      <c r="AI465" s="89">
        <f>IF(AC465=0,0,AH465/AC465)</f>
        <v>-1</v>
      </c>
      <c r="AJ465" s="91">
        <f>IF($AL$406=0,0,AL465/$AL$406)</f>
        <v>8.2953027503268648E-2</v>
      </c>
      <c r="AK465" s="89"/>
      <c r="AL465" s="90">
        <f>SUM(AL452:AL464)</f>
        <v>479380.47999999992</v>
      </c>
      <c r="AM465" s="100"/>
      <c r="AN465" s="93">
        <f>SUM(AN452:AN464)</f>
        <v>-479380.47999999992</v>
      </c>
      <c r="AO465" s="630">
        <f>IF(AL465=0,0,AN465/AL465)</f>
        <v>-1</v>
      </c>
      <c r="AP465" s="101">
        <f>AF465-Print_Mois!AF465</f>
        <v>0</v>
      </c>
      <c r="AQ465" s="90">
        <v>575262.88</v>
      </c>
      <c r="AR465" s="90">
        <f t="shared" si="211"/>
        <v>-575262.88</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3"/>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2">AF466-AC466</f>
        <v>0</v>
      </c>
      <c r="AI466" s="452"/>
      <c r="AJ466" s="456"/>
      <c r="AK466" s="449"/>
      <c r="AL466" s="105"/>
      <c r="AM466" s="473"/>
      <c r="AN466" s="451">
        <f t="shared" ref="AN466:AN472" si="263">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3"/>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0.90531525949932434</v>
      </c>
      <c r="Y467" s="88"/>
      <c r="Z467" s="90">
        <f>Z418+Z432+Z451+Z465</f>
        <v>5792303.6903096419</v>
      </c>
      <c r="AA467" s="89">
        <f>AC467/+AC406</f>
        <v>0.90531525949932434</v>
      </c>
      <c r="AB467" s="88"/>
      <c r="AC467" s="90">
        <f>AC418+AC432+AC451+AC465</f>
        <v>5792303.6903096419</v>
      </c>
      <c r="AD467" s="91" t="e">
        <f>AF467/AF406</f>
        <v>#DIV/0!</v>
      </c>
      <c r="AE467" s="88"/>
      <c r="AF467" s="90">
        <f>AF418+AF432+AF451+AF465</f>
        <v>0</v>
      </c>
      <c r="AG467" s="99"/>
      <c r="AH467" s="93">
        <f t="shared" si="262"/>
        <v>-5792303.6903096419</v>
      </c>
      <c r="AI467" s="89">
        <f>AH467/AC467</f>
        <v>-1</v>
      </c>
      <c r="AJ467" s="91">
        <f>IF($AL$406=0,0,AL467/$AL$406)</f>
        <v>0.92162056296379646</v>
      </c>
      <c r="AK467" s="89"/>
      <c r="AL467" s="90">
        <f>AL418+AL432+AL451+AL465</f>
        <v>5325988.95</v>
      </c>
      <c r="AM467" s="100"/>
      <c r="AN467" s="93">
        <f t="shared" si="263"/>
        <v>-5325988.95</v>
      </c>
      <c r="AO467" s="447">
        <f>IF(AL467=0,0,AN467/AL467)</f>
        <v>-1</v>
      </c>
      <c r="AP467" s="101">
        <f>AF467-Print_Mois!AF467</f>
        <v>0</v>
      </c>
      <c r="AQ467" s="90">
        <v>6536747.29</v>
      </c>
      <c r="AR467" s="90">
        <f t="shared" ref="AR467:AR480" si="264">AF467-AQ467</f>
        <v>-6536747.29</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3"/>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67049.430000000008</v>
      </c>
      <c r="AA468" s="243"/>
      <c r="AB468" s="244"/>
      <c r="AC468" s="242">
        <f>+SUMPRODUCT(('Budget révisé'!$A$8:$A$500=$A468)*('Budget révisé'!$C$3:$AO$3=AC$2),'Budget révisé'!$C$8:$AO$500)</f>
        <v>67049.430000000008</v>
      </c>
      <c r="AD468" s="246"/>
      <c r="AE468" s="244"/>
      <c r="AF468" s="87">
        <f>-SUMIFS(BV_Data_An_Cour!$Q:$Q,BV_Data_An_Cour!$W:$W,$V468)</f>
        <v>0</v>
      </c>
      <c r="AG468" s="245"/>
      <c r="AH468" s="476">
        <f t="shared" si="262"/>
        <v>-67049.430000000008</v>
      </c>
      <c r="AI468" s="477">
        <f t="shared" ref="AI468:AI472" si="265">IF(AH468=0,0,AH468/AC468)</f>
        <v>-1</v>
      </c>
      <c r="AJ468" s="246"/>
      <c r="AK468" s="243"/>
      <c r="AL468" s="478">
        <f>-SUMIFS(BV_Data_An_Prec!$P:$P,BV_Data_An_Prec!$V:$V,$V468)</f>
        <v>186080.71</v>
      </c>
      <c r="AM468" s="247"/>
      <c r="AN468" s="476">
        <f t="shared" si="263"/>
        <v>-186080.71</v>
      </c>
      <c r="AO468" s="255">
        <f>IF(AL468=0,0,AN468/AL468)</f>
        <v>-1</v>
      </c>
      <c r="AP468" s="101">
        <f>AF468-Print_Mois!AF468</f>
        <v>0</v>
      </c>
      <c r="AQ468" s="87">
        <v>244107.66</v>
      </c>
      <c r="AR468" s="87">
        <f t="shared" si="264"/>
        <v>-244107.66</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3"/>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6">+SUMIF($C:$C,$V469,F:F)</f>
        <v>754200.01295783115</v>
      </c>
      <c r="AA469" s="249"/>
      <c r="AB469" s="241"/>
      <c r="AC469" s="248">
        <f t="shared" ref="AC469:AC479" si="267">+SUMIF($C:$C,$V469,I:I)</f>
        <v>754200.01295783115</v>
      </c>
      <c r="AD469" s="252"/>
      <c r="AE469" s="241"/>
      <c r="AF469" s="248">
        <f t="shared" ref="AF469:AF479" si="268">+SUMIF($C:$C,$V469,L:L)</f>
        <v>0</v>
      </c>
      <c r="AG469" s="250"/>
      <c r="AH469" s="476">
        <f t="shared" si="262"/>
        <v>-754200.01295783115</v>
      </c>
      <c r="AI469" s="251">
        <f>IF(AC469=0,0,AH469/AC469)</f>
        <v>-1</v>
      </c>
      <c r="AJ469" s="252"/>
      <c r="AK469" s="249"/>
      <c r="AL469" s="253">
        <f t="shared" ref="AL469:AL479" si="269">+SUMIF($C:$C,$V469,Q:Q)</f>
        <v>712005.5</v>
      </c>
      <c r="AM469" s="254"/>
      <c r="AN469" s="476">
        <f t="shared" si="263"/>
        <v>-712005.5</v>
      </c>
      <c r="AO469" s="255">
        <f>IF(AL469=0,0,AN469/AL469)</f>
        <v>-1</v>
      </c>
      <c r="AP469" s="101">
        <f>AF469-Print_Mois!AF469</f>
        <v>0</v>
      </c>
      <c r="AQ469" s="248">
        <v>793765.53</v>
      </c>
      <c r="AR469" s="248">
        <f t="shared" si="264"/>
        <v>-793765.53</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3"/>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6"/>
        <v>51584.4</v>
      </c>
      <c r="AA470" s="249"/>
      <c r="AB470" s="241"/>
      <c r="AC470" s="248">
        <f t="shared" si="267"/>
        <v>51584.4</v>
      </c>
      <c r="AD470" s="252"/>
      <c r="AE470" s="241"/>
      <c r="AF470" s="248">
        <f t="shared" si="268"/>
        <v>0</v>
      </c>
      <c r="AG470" s="250"/>
      <c r="AH470" s="476">
        <f t="shared" si="262"/>
        <v>-51584.4</v>
      </c>
      <c r="AI470" s="251">
        <f t="shared" si="265"/>
        <v>-1</v>
      </c>
      <c r="AJ470" s="252"/>
      <c r="AK470" s="249"/>
      <c r="AL470" s="253">
        <f t="shared" si="269"/>
        <v>122276.52</v>
      </c>
      <c r="AM470" s="254"/>
      <c r="AN470" s="476">
        <f t="shared" si="263"/>
        <v>-122276.52</v>
      </c>
      <c r="AO470" s="255">
        <f t="shared" ref="AO470:AO472" si="270">IF(AL470=0,0,AN470/AL470)</f>
        <v>-1</v>
      </c>
      <c r="AP470" s="101">
        <f>AF470-Print_Mois!AF470</f>
        <v>0</v>
      </c>
      <c r="AQ470" s="248">
        <v>105276.52</v>
      </c>
      <c r="AR470" s="248">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3"/>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6"/>
        <v>0</v>
      </c>
      <c r="AA471" s="249"/>
      <c r="AB471" s="241"/>
      <c r="AC471" s="248">
        <f t="shared" si="267"/>
        <v>0</v>
      </c>
      <c r="AD471" s="252"/>
      <c r="AE471" s="241"/>
      <c r="AF471" s="248">
        <f t="shared" si="268"/>
        <v>0</v>
      </c>
      <c r="AG471" s="250"/>
      <c r="AH471" s="476">
        <f t="shared" si="262"/>
        <v>0</v>
      </c>
      <c r="AI471" s="251">
        <f t="shared" si="265"/>
        <v>0</v>
      </c>
      <c r="AJ471" s="252"/>
      <c r="AK471" s="249"/>
      <c r="AL471" s="253">
        <f t="shared" si="269"/>
        <v>0</v>
      </c>
      <c r="AM471" s="254"/>
      <c r="AN471" s="476">
        <f t="shared" si="263"/>
        <v>0</v>
      </c>
      <c r="AO471" s="255">
        <f t="shared" si="270"/>
        <v>0</v>
      </c>
      <c r="AP471" s="101">
        <f>AF471-Print_Mois!AF471</f>
        <v>0</v>
      </c>
      <c r="AQ471" s="248">
        <v>0</v>
      </c>
      <c r="AR471" s="248">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3"/>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6"/>
        <v>0</v>
      </c>
      <c r="AA472" s="249"/>
      <c r="AB472" s="241"/>
      <c r="AC472" s="248">
        <f t="shared" si="267"/>
        <v>0</v>
      </c>
      <c r="AD472" s="252"/>
      <c r="AE472" s="241"/>
      <c r="AF472" s="248">
        <f t="shared" si="268"/>
        <v>0</v>
      </c>
      <c r="AG472" s="250"/>
      <c r="AH472" s="476">
        <f t="shared" si="262"/>
        <v>0</v>
      </c>
      <c r="AI472" s="251">
        <f t="shared" si="265"/>
        <v>0</v>
      </c>
      <c r="AJ472" s="252"/>
      <c r="AK472" s="249"/>
      <c r="AL472" s="253">
        <f t="shared" si="269"/>
        <v>0</v>
      </c>
      <c r="AM472" s="254"/>
      <c r="AN472" s="476">
        <f t="shared" si="263"/>
        <v>0</v>
      </c>
      <c r="AO472" s="255">
        <f t="shared" si="270"/>
        <v>0</v>
      </c>
      <c r="AP472" s="101">
        <f>AF472-Print_Mois!AF472</f>
        <v>0</v>
      </c>
      <c r="AQ472" s="248">
        <v>0</v>
      </c>
      <c r="AR472" s="248">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3"/>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6"/>
        <v>0</v>
      </c>
      <c r="AA473" s="249"/>
      <c r="AB473" s="241"/>
      <c r="AC473" s="248">
        <f t="shared" si="267"/>
        <v>0</v>
      </c>
      <c r="AD473" s="252"/>
      <c r="AE473" s="241"/>
      <c r="AF473" s="248">
        <f t="shared" si="268"/>
        <v>0</v>
      </c>
      <c r="AG473" s="250"/>
      <c r="AH473" s="476">
        <f t="shared" ref="AH473:AH478" si="271">AF473-AC473</f>
        <v>0</v>
      </c>
      <c r="AI473" s="251">
        <f t="shared" ref="AI473:AI478" si="272">IF(AH473=0,0,AH473/AC473)</f>
        <v>0</v>
      </c>
      <c r="AJ473" s="252"/>
      <c r="AK473" s="249"/>
      <c r="AL473" s="253">
        <f t="shared" si="269"/>
        <v>0</v>
      </c>
      <c r="AM473" s="254"/>
      <c r="AN473" s="476">
        <f t="shared" ref="AN473:AN475" si="273">AF473-AL473</f>
        <v>0</v>
      </c>
      <c r="AO473" s="255">
        <f t="shared" ref="AO473:AO475" si="274">IF(AL473=0,0,AN473/AL473)</f>
        <v>0</v>
      </c>
      <c r="AP473" s="101">
        <f>AF473-Print_Mois!AF473</f>
        <v>0</v>
      </c>
      <c r="AQ473" s="248">
        <v>17000</v>
      </c>
      <c r="AR473" s="248">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3"/>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6"/>
        <v>0</v>
      </c>
      <c r="AA474" s="249"/>
      <c r="AB474" s="241"/>
      <c r="AC474" s="248">
        <f t="shared" si="267"/>
        <v>0</v>
      </c>
      <c r="AD474" s="252"/>
      <c r="AE474" s="241"/>
      <c r="AF474" s="248">
        <f t="shared" si="268"/>
        <v>0</v>
      </c>
      <c r="AG474" s="250"/>
      <c r="AH474" s="476">
        <f t="shared" si="271"/>
        <v>0</v>
      </c>
      <c r="AI474" s="251">
        <f t="shared" si="272"/>
        <v>0</v>
      </c>
      <c r="AJ474" s="252"/>
      <c r="AK474" s="249"/>
      <c r="AL474" s="253">
        <f t="shared" si="269"/>
        <v>0</v>
      </c>
      <c r="AM474" s="254"/>
      <c r="AN474" s="476">
        <f t="shared" si="273"/>
        <v>0</v>
      </c>
      <c r="AO474" s="255">
        <f t="shared" si="274"/>
        <v>0</v>
      </c>
      <c r="AP474" s="101">
        <f>AF474-Print_Mois!AF474</f>
        <v>0</v>
      </c>
      <c r="AQ474" s="248">
        <v>0</v>
      </c>
      <c r="AR474" s="248">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3"/>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6"/>
        <v>0</v>
      </c>
      <c r="AA475" s="249"/>
      <c r="AB475" s="241"/>
      <c r="AC475" s="248">
        <f t="shared" si="267"/>
        <v>0</v>
      </c>
      <c r="AD475" s="252"/>
      <c r="AE475" s="241"/>
      <c r="AF475" s="248">
        <f t="shared" si="268"/>
        <v>0</v>
      </c>
      <c r="AG475" s="250"/>
      <c r="AH475" s="476">
        <f t="shared" si="271"/>
        <v>0</v>
      </c>
      <c r="AI475" s="251">
        <f t="shared" si="272"/>
        <v>0</v>
      </c>
      <c r="AJ475" s="252"/>
      <c r="AK475" s="249"/>
      <c r="AL475" s="253">
        <f t="shared" si="269"/>
        <v>0</v>
      </c>
      <c r="AM475" s="254"/>
      <c r="AN475" s="476">
        <f t="shared" si="273"/>
        <v>0</v>
      </c>
      <c r="AO475" s="255">
        <f t="shared" si="274"/>
        <v>0</v>
      </c>
      <c r="AP475" s="101">
        <f>AF475-Print_Mois!AF475</f>
        <v>0</v>
      </c>
      <c r="AQ475" s="248">
        <v>0</v>
      </c>
      <c r="AR475" s="248">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3"/>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6"/>
        <v>0</v>
      </c>
      <c r="AA476" s="249"/>
      <c r="AB476" s="241"/>
      <c r="AC476" s="248">
        <f t="shared" si="267"/>
        <v>0</v>
      </c>
      <c r="AD476" s="252"/>
      <c r="AE476" s="241"/>
      <c r="AF476" s="248">
        <f t="shared" si="268"/>
        <v>0</v>
      </c>
      <c r="AG476" s="250"/>
      <c r="AH476" s="476">
        <f t="shared" si="271"/>
        <v>0</v>
      </c>
      <c r="AI476" s="251">
        <f t="shared" si="272"/>
        <v>0</v>
      </c>
      <c r="AJ476" s="252"/>
      <c r="AK476" s="249"/>
      <c r="AL476" s="253">
        <f t="shared" si="269"/>
        <v>0</v>
      </c>
      <c r="AM476" s="254"/>
      <c r="AN476" s="476">
        <f t="shared" ref="AN476:AN479" si="275">AF476-AL476</f>
        <v>0</v>
      </c>
      <c r="AO476" s="255">
        <f t="shared" ref="AO476:AO479" si="276">IF(AL476=0,0,AN476/AL476)</f>
        <v>0</v>
      </c>
      <c r="AP476" s="101">
        <f>AF476-Print_Mois!AF476</f>
        <v>0</v>
      </c>
      <c r="AQ476" s="248">
        <v>0</v>
      </c>
      <c r="AR476" s="248">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3"/>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6"/>
        <v>0</v>
      </c>
      <c r="AA477" s="249"/>
      <c r="AB477" s="241"/>
      <c r="AC477" s="248">
        <f t="shared" si="267"/>
        <v>0</v>
      </c>
      <c r="AD477" s="252"/>
      <c r="AE477" s="241"/>
      <c r="AF477" s="248">
        <f t="shared" si="268"/>
        <v>0</v>
      </c>
      <c r="AG477" s="250"/>
      <c r="AH477" s="476">
        <f t="shared" si="271"/>
        <v>0</v>
      </c>
      <c r="AI477" s="251">
        <f t="shared" si="272"/>
        <v>0</v>
      </c>
      <c r="AJ477" s="252"/>
      <c r="AK477" s="249"/>
      <c r="AL477" s="253">
        <f t="shared" si="269"/>
        <v>0</v>
      </c>
      <c r="AM477" s="254"/>
      <c r="AN477" s="476">
        <f t="shared" si="275"/>
        <v>0</v>
      </c>
      <c r="AO477" s="255">
        <f t="shared" si="276"/>
        <v>0</v>
      </c>
      <c r="AP477" s="101">
        <f>AF477-Print_Mois!AF477</f>
        <v>0</v>
      </c>
      <c r="AQ477" s="248">
        <v>0</v>
      </c>
      <c r="AR477" s="248">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3"/>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6"/>
        <v>0</v>
      </c>
      <c r="AA478" s="249"/>
      <c r="AB478" s="241"/>
      <c r="AC478" s="248">
        <f t="shared" si="267"/>
        <v>0</v>
      </c>
      <c r="AD478" s="252"/>
      <c r="AE478" s="241"/>
      <c r="AF478" s="248">
        <f t="shared" si="268"/>
        <v>0</v>
      </c>
      <c r="AG478" s="250"/>
      <c r="AH478" s="476">
        <f t="shared" si="271"/>
        <v>0</v>
      </c>
      <c r="AI478" s="251">
        <f t="shared" si="272"/>
        <v>0</v>
      </c>
      <c r="AJ478" s="252"/>
      <c r="AK478" s="249"/>
      <c r="AL478" s="253">
        <f t="shared" si="269"/>
        <v>0</v>
      </c>
      <c r="AM478" s="254"/>
      <c r="AN478" s="476">
        <f t="shared" si="275"/>
        <v>0</v>
      </c>
      <c r="AO478" s="255">
        <f t="shared" si="276"/>
        <v>0</v>
      </c>
      <c r="AP478" s="101">
        <f>AF478-Print_Mois!AF478</f>
        <v>0</v>
      </c>
      <c r="AQ478" s="248">
        <v>0</v>
      </c>
      <c r="AR478" s="248">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3"/>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6"/>
        <v>403900.3292063555</v>
      </c>
      <c r="AA479" s="249"/>
      <c r="AB479" s="241"/>
      <c r="AC479" s="248">
        <f t="shared" si="267"/>
        <v>403900.3292063555</v>
      </c>
      <c r="AD479" s="252"/>
      <c r="AE479" s="241"/>
      <c r="AF479" s="248">
        <f t="shared" si="268"/>
        <v>0</v>
      </c>
      <c r="AG479" s="250"/>
      <c r="AH479" s="476">
        <f t="shared" ref="AH479:AH480" si="277">AF479-AC479</f>
        <v>-403900.3292063555</v>
      </c>
      <c r="AI479" s="251">
        <f>IF(AH479=0,0,AH479/AC479)</f>
        <v>-1</v>
      </c>
      <c r="AJ479" s="252"/>
      <c r="AK479" s="249"/>
      <c r="AL479" s="253">
        <f t="shared" si="269"/>
        <v>323697.88</v>
      </c>
      <c r="AM479" s="254"/>
      <c r="AN479" s="476">
        <f t="shared" si="275"/>
        <v>-323697.88</v>
      </c>
      <c r="AO479" s="255">
        <f t="shared" si="276"/>
        <v>-1</v>
      </c>
      <c r="AP479" s="101">
        <f>AF479-Print_Mois!AF479</f>
        <v>0</v>
      </c>
      <c r="AQ479" s="248">
        <v>377721.88</v>
      </c>
      <c r="AR479" s="248">
        <f t="shared" si="264"/>
        <v>-377721.88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3"/>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0.19954874436541969</v>
      </c>
      <c r="Y480" s="103"/>
      <c r="Z480" s="90">
        <f>SUM(Z468:Z479)</f>
        <v>1276734.1721641868</v>
      </c>
      <c r="AA480" s="89">
        <f>AC480/+AC406</f>
        <v>0.19954874436541969</v>
      </c>
      <c r="AB480" s="103"/>
      <c r="AC480" s="90">
        <f>SUM(AC468:AC479)</f>
        <v>1276734.1721641868</v>
      </c>
      <c r="AD480" s="89" t="e">
        <f>AF480/+AF406</f>
        <v>#DIV/0!</v>
      </c>
      <c r="AE480" s="103"/>
      <c r="AF480" s="90">
        <f>SUM(AF468:AF479)</f>
        <v>0</v>
      </c>
      <c r="AG480" s="99"/>
      <c r="AH480" s="93">
        <f t="shared" si="277"/>
        <v>-1276734.1721641868</v>
      </c>
      <c r="AI480" s="89">
        <f>AH480/AC480</f>
        <v>-1</v>
      </c>
      <c r="AJ480" s="109"/>
      <c r="AK480" s="110"/>
      <c r="AL480" s="90">
        <f>SUM(AL468:AL479)</f>
        <v>1344060.6099999999</v>
      </c>
      <c r="AM480" s="111"/>
      <c r="AN480" s="93">
        <f t="shared" ref="AN480:AN482" si="278">AF480-AL480</f>
        <v>-1344060.6099999999</v>
      </c>
      <c r="AO480" s="630">
        <f>IF(AL480=0,0,AN480/AL480)</f>
        <v>-1</v>
      </c>
      <c r="AP480" s="101">
        <f>AF480-Print_Mois!AF480</f>
        <v>0</v>
      </c>
      <c r="AQ480" s="90">
        <v>1537871.5899999999</v>
      </c>
      <c r="AR480" s="90">
        <f t="shared" si="264"/>
        <v>-1537871.5899999999</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3"/>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0">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3"/>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3.8854980159742772E-2</v>
      </c>
      <c r="Z482" s="485">
        <f>Z406-Z467+Z480</f>
        <v>1882537.251327334</v>
      </c>
      <c r="AA482" s="483" t="s">
        <v>258</v>
      </c>
      <c r="AB482" s="484">
        <f>AC482/AC405</f>
        <v>3.8854980159742772E-2</v>
      </c>
      <c r="AC482" s="485">
        <f>AC406-AC467+AC480</f>
        <v>1882537.251327334</v>
      </c>
      <c r="AD482" s="483" t="s">
        <v>258</v>
      </c>
      <c r="AE482" s="484" t="e">
        <f>AF482/AF405</f>
        <v>#DIV/0!</v>
      </c>
      <c r="AF482" s="211">
        <f>AF406-AF467+AF480</f>
        <v>0</v>
      </c>
      <c r="AG482" s="486"/>
      <c r="AH482" s="486">
        <f>AF482-AC482</f>
        <v>-1882537.251327334</v>
      </c>
      <c r="AI482" s="540">
        <f>AH482/AC482</f>
        <v>-1</v>
      </c>
      <c r="AJ482" s="487" t="s">
        <v>258</v>
      </c>
      <c r="AK482" s="484">
        <f>IF($AL$405=0,0,AL482/$AL$405)</f>
        <v>3.6879464621147336E-2</v>
      </c>
      <c r="AL482" s="211">
        <f>AL406-AL467+AL480</f>
        <v>1797010.5900000003</v>
      </c>
      <c r="AM482" s="212"/>
      <c r="AN482" s="211">
        <f t="shared" si="278"/>
        <v>-1797010.5900000003</v>
      </c>
      <c r="AO482" s="488">
        <f>IF(AL482=0,0,AN482/AL482)</f>
        <v>-1</v>
      </c>
      <c r="AP482" s="101">
        <f>AF482-Print_Mois!AF482</f>
        <v>0</v>
      </c>
      <c r="AQ482" s="211">
        <v>2159824.8199999994</v>
      </c>
      <c r="AR482" s="211">
        <f>AF482-AQ482</f>
        <v>-2159824.8199999994</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3"/>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0">+U484&amp;V484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Octobre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0"/>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0"/>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0"/>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0"/>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3.8854980159742772E-2</v>
      </c>
      <c r="Z488" s="493">
        <f>Z482</f>
        <v>1882537.251327334</v>
      </c>
      <c r="AA488" s="491" t="s">
        <v>258</v>
      </c>
      <c r="AB488" s="492">
        <f>AC488/AC405</f>
        <v>3.8854980159742772E-2</v>
      </c>
      <c r="AC488" s="493">
        <f>AC482</f>
        <v>1882537.251327334</v>
      </c>
      <c r="AD488" s="491" t="s">
        <v>258</v>
      </c>
      <c r="AE488" s="492" t="e">
        <f>AF488/AF405</f>
        <v>#DIV/0!</v>
      </c>
      <c r="AF488" s="493">
        <f>AF482</f>
        <v>0</v>
      </c>
      <c r="AG488" s="494"/>
      <c r="AH488" s="486">
        <f>AF488-AC488</f>
        <v>-1882537.251327334</v>
      </c>
      <c r="AI488" s="540">
        <f>AH488/AC488</f>
        <v>-1</v>
      </c>
      <c r="AJ488" s="491" t="s">
        <v>258</v>
      </c>
      <c r="AK488" s="492">
        <f>IF($AL$405=0,0,AL488/$AL$405)</f>
        <v>3.6879464621147336E-2</v>
      </c>
      <c r="AL488" s="495">
        <f>AL482</f>
        <v>1797010.5900000003</v>
      </c>
      <c r="AM488" s="496"/>
      <c r="AN488" s="497">
        <f>AF488-AL488</f>
        <v>-1797010.5900000003</v>
      </c>
      <c r="AO488" s="498">
        <f>IF(AL488=0,0,AN488/AL488)</f>
        <v>-1</v>
      </c>
      <c r="AP488" s="101">
        <f>AF488-Print_Mois!AF488</f>
        <v>0</v>
      </c>
      <c r="AQ488" s="493">
        <v>2159824.8199999994</v>
      </c>
      <c r="AR488" s="493">
        <f>AF488-AQ488</f>
        <v>-2159824.8199999994</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0"/>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0"/>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73712.5</v>
      </c>
      <c r="AA490" s="449"/>
      <c r="AB490" s="455"/>
      <c r="AC490" s="87">
        <f>+SUMPRODUCT(('Budget révisé'!$A$8:$A$500=$A490)*('Budget révisé'!$C$3:$AO$3=AC$2),'Budget révisé'!$C$8:$AO$500)</f>
        <v>73712.5</v>
      </c>
      <c r="AD490" s="449"/>
      <c r="AE490" s="455"/>
      <c r="AF490" s="87">
        <f>SUMIFS(BV_Data_An_Cour!$Q:$Q,BV_Data_An_Cour!$W:$W,$V490)</f>
        <v>0</v>
      </c>
      <c r="AG490" s="449"/>
      <c r="AH490" s="451">
        <f t="shared" ref="AH490:AH491" si="281">AF490-AC490</f>
        <v>-73712.5</v>
      </c>
      <c r="AI490" s="97">
        <f>IF(AC490=0,0,AH490/AC490)</f>
        <v>-1</v>
      </c>
      <c r="AJ490" s="449"/>
      <c r="AK490" s="449"/>
      <c r="AL490" s="87">
        <f>SUMIFS(BV_Data_An_Prec!$P:$P,BV_Data_An_Prec!$V:$V,$V490)</f>
        <v>43939.499999999993</v>
      </c>
      <c r="AM490" s="453"/>
      <c r="AN490" s="451">
        <f t="shared" ref="AN490:AN491" si="282">AF490-AL490</f>
        <v>-43939.499999999993</v>
      </c>
      <c r="AO490" s="208">
        <f>IF(AL490=0,0,AN490/AL490)</f>
        <v>-1</v>
      </c>
      <c r="AP490" s="101">
        <f>AF490-Print_Mois!AF490</f>
        <v>0</v>
      </c>
      <c r="AQ490" s="87">
        <v>54471.5</v>
      </c>
      <c r="AR490" s="87">
        <f t="shared" ref="AR490:AR492" si="283">AF490-AQ490</f>
        <v>-54471.5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0"/>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1"/>
        <v>0</v>
      </c>
      <c r="AI491" s="97">
        <f t="shared" ref="AI491" si="284">IF(AC491=0,0,AH491/AC491)</f>
        <v>0</v>
      </c>
      <c r="AJ491" s="433"/>
      <c r="AK491" s="433"/>
      <c r="AL491" s="87">
        <f>SUMIFS(BV_Data_An_Prec!$P:$P,BV_Data_An_Prec!$V:$V,$V491)</f>
        <v>-4458.1099999999997</v>
      </c>
      <c r="AM491" s="502"/>
      <c r="AN491" s="451">
        <f t="shared" si="282"/>
        <v>4458.1099999999997</v>
      </c>
      <c r="AO491" s="208">
        <f t="shared" ref="AO491" si="285">IF(AL491=0,0,AN491/AL491)</f>
        <v>-1</v>
      </c>
      <c r="AP491" s="101">
        <f>AF491-Print_Mois!AF491</f>
        <v>0</v>
      </c>
      <c r="AQ491" s="248">
        <v>-4458.1099999999997</v>
      </c>
      <c r="AR491" s="248">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0"/>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4304.57</v>
      </c>
      <c r="AA492" s="433"/>
      <c r="AB492" s="433"/>
      <c r="AC492" s="87">
        <f>+SUMPRODUCT(('Budget révisé'!$A$8:$A$500=$A492)*('Budget révisé'!$C$3:$AO$3=AC$2),'Budget révisé'!$C$8:$AO$500)</f>
        <v>4304.57</v>
      </c>
      <c r="AD492" s="433"/>
      <c r="AE492" s="172"/>
      <c r="AF492" s="87">
        <f>SUMIFS(BV_Data_An_Cour!$Q:$Q,BV_Data_An_Cour!$W:$W,$V492)</f>
        <v>0</v>
      </c>
      <c r="AG492" s="433"/>
      <c r="AH492" s="451">
        <f t="shared" ref="AH492:AH496" si="286">AF492-AC492</f>
        <v>-4304.57</v>
      </c>
      <c r="AI492" s="97">
        <f t="shared" ref="AI492:AI496" si="287">IF(AC492=0,0,AH492/AC492)</f>
        <v>-1</v>
      </c>
      <c r="AJ492" s="433"/>
      <c r="AK492" s="433"/>
      <c r="AL492" s="87">
        <f>SUMIFS(BV_Data_An_Prec!$P:$P,BV_Data_An_Prec!$V:$V,$V492)</f>
        <v>5705.9</v>
      </c>
      <c r="AM492" s="502"/>
      <c r="AN492" s="451">
        <f t="shared" ref="AN492:AN496" si="288">AF492-AL492</f>
        <v>-5705.9</v>
      </c>
      <c r="AO492" s="208">
        <f t="shared" ref="AO492:AO496" si="289">IF(AL492=0,0,AN492/AL492)</f>
        <v>-1</v>
      </c>
      <c r="AP492" s="101">
        <f>AF492-Print_Mois!AF492</f>
        <v>0</v>
      </c>
      <c r="AQ492" s="87">
        <v>6847.08</v>
      </c>
      <c r="AR492" s="87">
        <f t="shared" si="283"/>
        <v>-6847.08</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0"/>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6"/>
        <v>0</v>
      </c>
      <c r="AI493" s="97">
        <f t="shared" si="287"/>
        <v>0</v>
      </c>
      <c r="AJ493" s="433"/>
      <c r="AK493" s="433"/>
      <c r="AL493" s="87">
        <f>SUMIFS(BV_Data_An_Prec!$P:$P,BV_Data_An_Prec!$V:$V,$V493)</f>
        <v>0</v>
      </c>
      <c r="AM493" s="502"/>
      <c r="AN493" s="451">
        <f t="shared" si="288"/>
        <v>0</v>
      </c>
      <c r="AO493" s="208">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0"/>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6"/>
        <v>0</v>
      </c>
      <c r="AI494" s="97">
        <f t="shared" si="287"/>
        <v>0</v>
      </c>
      <c r="AJ494" s="433"/>
      <c r="AK494" s="433"/>
      <c r="AL494" s="87">
        <f>SUMIFS(BV_Data_An_Prec!$P:$P,BV_Data_An_Prec!$V:$V,$V494)</f>
        <v>0</v>
      </c>
      <c r="AM494" s="502"/>
      <c r="AN494" s="451">
        <f t="shared" si="288"/>
        <v>0</v>
      </c>
      <c r="AO494" s="208">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0"/>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6"/>
        <v>0</v>
      </c>
      <c r="AI495" s="97">
        <f t="shared" si="287"/>
        <v>0</v>
      </c>
      <c r="AJ495" s="433"/>
      <c r="AK495" s="433"/>
      <c r="AL495" s="87">
        <f>SUMIFS(BV_Data_An_Prec!$P:$P,BV_Data_An_Prec!$V:$V,$V495)</f>
        <v>0</v>
      </c>
      <c r="AM495" s="502"/>
      <c r="AN495" s="451">
        <f t="shared" si="288"/>
        <v>0</v>
      </c>
      <c r="AO495" s="208">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0"/>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6"/>
        <v>0</v>
      </c>
      <c r="AI496" s="97">
        <f t="shared" si="287"/>
        <v>0</v>
      </c>
      <c r="AJ496" s="433"/>
      <c r="AK496" s="433"/>
      <c r="AL496" s="87">
        <f>SUMIFS(BV_Data_An_Prec!$P:$P,BV_Data_An_Prec!$V:$V,$V496)</f>
        <v>0</v>
      </c>
      <c r="AM496" s="502"/>
      <c r="AN496" s="451">
        <f t="shared" si="288"/>
        <v>0</v>
      </c>
      <c r="AO496" s="208">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0"/>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3.7244732232465938E-2</v>
      </c>
      <c r="Z497" s="485">
        <f>Z488-Z490-Z491-Z492-Z496</f>
        <v>1804520.1813273339</v>
      </c>
      <c r="AA497" s="483" t="s">
        <v>258</v>
      </c>
      <c r="AB497" s="484">
        <f>AC497/AC405</f>
        <v>3.7244732232465938E-2</v>
      </c>
      <c r="AC497" s="485">
        <f>AC488-AC490-AC491-AC492-AC496</f>
        <v>1804520.1813273339</v>
      </c>
      <c r="AD497" s="483" t="s">
        <v>258</v>
      </c>
      <c r="AE497" s="484" t="e">
        <f>AF497/AF405</f>
        <v>#DIV/0!</v>
      </c>
      <c r="AF497" s="211">
        <f>AF488-AF490-AF491-AF492-AF496</f>
        <v>0</v>
      </c>
      <c r="AG497" s="486"/>
      <c r="AH497" s="486">
        <f>AF497-AC497</f>
        <v>-1804520.1813273339</v>
      </c>
      <c r="AI497" s="540">
        <f>AH497/AC497</f>
        <v>-1</v>
      </c>
      <c r="AJ497" s="487" t="s">
        <v>258</v>
      </c>
      <c r="AK497" s="484">
        <f>IF($AL$405=0,0,AL497/$AL$405)</f>
        <v>3.5952100546525763E-2</v>
      </c>
      <c r="AL497" s="211">
        <f>AL488-AL490-AL491-AL492-AL496</f>
        <v>1751823.3000000005</v>
      </c>
      <c r="AM497" s="212"/>
      <c r="AN497" s="211">
        <f>AF497-AL497</f>
        <v>-1751823.3000000005</v>
      </c>
      <c r="AO497" s="503">
        <f>IF(AL497=0,0,AN497/AL497)</f>
        <v>-1</v>
      </c>
      <c r="AP497" s="101">
        <f>AF497-Print_Mois!AF497</f>
        <v>0</v>
      </c>
      <c r="AQ497" s="211">
        <v>2102964.3499999992</v>
      </c>
      <c r="AR497" s="211">
        <f>AF497-AQ497</f>
        <v>-2102964.3499999992</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0">+U498&amp;V498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1804520.1813273339</v>
      </c>
      <c r="AA499" s="79"/>
      <c r="AB499" s="79"/>
      <c r="AC499" s="101">
        <f>Z499</f>
        <v>1804520.1813273339</v>
      </c>
      <c r="AD499" s="79"/>
      <c r="AE499" s="79"/>
      <c r="AF499" s="126"/>
      <c r="AG499" s="79"/>
      <c r="AH499" s="79"/>
      <c r="AI499" s="79"/>
      <c r="AJ499" s="79"/>
      <c r="AK499" s="1334">
        <v>44377</v>
      </c>
      <c r="AL499" s="79">
        <v>1751823</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6">
        <f>+Z497-Z499</f>
        <v>0</v>
      </c>
      <c r="AA500" s="79"/>
      <c r="AB500" s="79"/>
      <c r="AC500" s="1006">
        <f>+AC497-AC499</f>
        <v>0</v>
      </c>
      <c r="AD500" s="79"/>
      <c r="AE500" s="79"/>
      <c r="AF500" s="1006">
        <f>+AF497-AF499</f>
        <v>0</v>
      </c>
      <c r="AG500" s="79"/>
      <c r="AH500" s="79"/>
      <c r="AI500" s="79"/>
      <c r="AJ500" s="79"/>
      <c r="AK500" s="79"/>
      <c r="AL500" s="1006">
        <f>+AL497-AL499</f>
        <v>0.30000000051222742</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3" priority="341" stopIfTrue="1">
      <formula>"esterreur(reference)"</formula>
    </cfRule>
  </conditionalFormatting>
  <conditionalFormatting sqref="M95:M96">
    <cfRule type="expression" dxfId="342" priority="342" stopIfTrue="1">
      <formula>"esterreur(reference)"</formula>
    </cfRule>
  </conditionalFormatting>
  <conditionalFormatting sqref="H275:H280 J275:K280">
    <cfRule type="expression" dxfId="341" priority="343" stopIfTrue="1">
      <formula>"esterreur(reference)"</formula>
    </cfRule>
  </conditionalFormatting>
  <conditionalFormatting sqref="H219:H224 J219:K224">
    <cfRule type="expression" dxfId="340" priority="344" stopIfTrue="1">
      <formula>"esterreur(reference)"</formula>
    </cfRule>
  </conditionalFormatting>
  <conditionalFormatting sqref="H141:H147 J141:K147">
    <cfRule type="expression" dxfId="339" priority="345" stopIfTrue="1">
      <formula>"esterreur(reference)"</formula>
    </cfRule>
  </conditionalFormatting>
  <conditionalFormatting sqref="H137:H139 J137:K139">
    <cfRule type="expression" dxfId="338" priority="346" stopIfTrue="1">
      <formula>"esterreur(reference)"</formula>
    </cfRule>
  </conditionalFormatting>
  <conditionalFormatting sqref="H140 J140:K140">
    <cfRule type="expression" dxfId="337" priority="347" stopIfTrue="1">
      <formula>"esterreur(reference)"</formula>
    </cfRule>
  </conditionalFormatting>
  <conditionalFormatting sqref="L82">
    <cfRule type="expression" dxfId="336" priority="321" stopIfTrue="1">
      <formula>"esterreur(reference)"</formula>
    </cfRule>
  </conditionalFormatting>
  <conditionalFormatting sqref="M311">
    <cfRule type="expression" dxfId="335" priority="348" stopIfTrue="1">
      <formula>"esterreur(reference)"</formula>
    </cfRule>
  </conditionalFormatting>
  <conditionalFormatting sqref="R311">
    <cfRule type="expression" dxfId="334" priority="349" stopIfTrue="1">
      <formula>"esterreur(reference)"</formula>
    </cfRule>
  </conditionalFormatting>
  <conditionalFormatting sqref="AG408:AI413 AH490:AI490 AG431:AI431 AH465:AI467 AH452:AI459 AH419:AI430 AH432:AI450 AH460:AH464 AI491:AI496">
    <cfRule type="cellIs" dxfId="333" priority="350" operator="greaterThan">
      <formula>0</formula>
    </cfRule>
  </conditionalFormatting>
  <conditionalFormatting sqref="AH468:AI479">
    <cfRule type="cellIs" dxfId="332" priority="351" operator="lessThan">
      <formula>0</formula>
    </cfRule>
  </conditionalFormatting>
  <conditionalFormatting sqref="AH491:AH496">
    <cfRule type="cellIs" dxfId="331" priority="352" operator="greaterThan">
      <formula>0</formula>
    </cfRule>
  </conditionalFormatting>
  <conditionalFormatting sqref="J281:K283">
    <cfRule type="expression" dxfId="330" priority="353" stopIfTrue="1">
      <formula>"esterreur(reference)"</formula>
    </cfRule>
  </conditionalFormatting>
  <conditionalFormatting sqref="H316:L316">
    <cfRule type="expression" dxfId="329" priority="360" stopIfTrue="1">
      <formula>"esterreur(reference)"</formula>
    </cfRule>
  </conditionalFormatting>
  <conditionalFormatting sqref="H196:L196">
    <cfRule type="expression" dxfId="328" priority="361" stopIfTrue="1">
      <formula>"esterreur(reference)"</formula>
    </cfRule>
  </conditionalFormatting>
  <conditionalFormatting sqref="H55:H56 J55:K56 H71 J71:K71">
    <cfRule type="expression" dxfId="327" priority="362" stopIfTrue="1">
      <formula>"esterreur(reference)"</formula>
    </cfRule>
  </conditionalFormatting>
  <conditionalFormatting sqref="J61:K70 H61:H70">
    <cfRule type="expression" dxfId="326" priority="363" stopIfTrue="1">
      <formula>"esterreur(reference)"</formula>
    </cfRule>
  </conditionalFormatting>
  <conditionalFormatting sqref="H57:H59 J57:K59">
    <cfRule type="expression" dxfId="325" priority="364" stopIfTrue="1">
      <formula>"esterreur(reference)"</formula>
    </cfRule>
  </conditionalFormatting>
  <conditionalFormatting sqref="H60 J60:K60">
    <cfRule type="expression" dxfId="324" priority="365" stopIfTrue="1">
      <formula>"esterreur(reference)"</formula>
    </cfRule>
  </conditionalFormatting>
  <conditionalFormatting sqref="L19 L21:L23">
    <cfRule type="expression" dxfId="323" priority="339" stopIfTrue="1">
      <formula>"esterreur(reference)"</formula>
    </cfRule>
  </conditionalFormatting>
  <conditionalFormatting sqref="K98">
    <cfRule type="expression" dxfId="322" priority="366" stopIfTrue="1">
      <formula>"esterreur(reference)"</formula>
    </cfRule>
  </conditionalFormatting>
  <conditionalFormatting sqref="L331:L347">
    <cfRule type="expression" dxfId="321" priority="234" stopIfTrue="1">
      <formula>"esterreur(reference)"</formula>
    </cfRule>
  </conditionalFormatting>
  <conditionalFormatting sqref="L16:L17">
    <cfRule type="expression" dxfId="320" priority="340" stopIfTrue="1">
      <formula>"esterreur(reference)"</formula>
    </cfRule>
  </conditionalFormatting>
  <conditionalFormatting sqref="L20">
    <cfRule type="expression" dxfId="319" priority="338" stopIfTrue="1">
      <formula>"esterreur(reference)"</formula>
    </cfRule>
  </conditionalFormatting>
  <conditionalFormatting sqref="L325">
    <cfRule type="expression" dxfId="318" priority="238" stopIfTrue="1">
      <formula>"esterreur(reference)"</formula>
    </cfRule>
  </conditionalFormatting>
  <conditionalFormatting sqref="L326">
    <cfRule type="expression" dxfId="317" priority="237" stopIfTrue="1">
      <formula>"esterreur(reference)"</formula>
    </cfRule>
  </conditionalFormatting>
  <conditionalFormatting sqref="L327">
    <cfRule type="expression" dxfId="316" priority="236" stopIfTrue="1">
      <formula>"esterreur(reference)"</formula>
    </cfRule>
  </conditionalFormatting>
  <conditionalFormatting sqref="L328">
    <cfRule type="expression" dxfId="315" priority="235" stopIfTrue="1">
      <formula>"esterreur(reference)"</formula>
    </cfRule>
  </conditionalFormatting>
  <conditionalFormatting sqref="L42">
    <cfRule type="expression" dxfId="314" priority="337" stopIfTrue="1">
      <formula>"esterreur(reference)"</formula>
    </cfRule>
  </conditionalFormatting>
  <conditionalFormatting sqref="L43">
    <cfRule type="expression" dxfId="313" priority="336" stopIfTrue="1">
      <formula>"esterreur(reference)"</formula>
    </cfRule>
  </conditionalFormatting>
  <conditionalFormatting sqref="L44">
    <cfRule type="expression" dxfId="312" priority="335" stopIfTrue="1">
      <formula>"esterreur(reference)"</formula>
    </cfRule>
  </conditionalFormatting>
  <conditionalFormatting sqref="L45:L48">
    <cfRule type="expression" dxfId="311" priority="334" stopIfTrue="1">
      <formula>"esterreur(reference)"</formula>
    </cfRule>
  </conditionalFormatting>
  <conditionalFormatting sqref="L55">
    <cfRule type="expression" dxfId="310" priority="333" stopIfTrue="1">
      <formula>"esterreur(reference)"</formula>
    </cfRule>
  </conditionalFormatting>
  <conditionalFormatting sqref="L56">
    <cfRule type="expression" dxfId="309" priority="332" stopIfTrue="1">
      <formula>"esterreur(reference)"</formula>
    </cfRule>
  </conditionalFormatting>
  <conditionalFormatting sqref="L271">
    <cfRule type="expression" dxfId="308" priority="249" stopIfTrue="1">
      <formula>"esterreur(reference)"</formula>
    </cfRule>
  </conditionalFormatting>
  <conditionalFormatting sqref="L58">
    <cfRule type="expression" dxfId="307" priority="331" stopIfTrue="1">
      <formula>"esterreur(reference)"</formula>
    </cfRule>
  </conditionalFormatting>
  <conditionalFormatting sqref="L61">
    <cfRule type="expression" dxfId="306" priority="330" stopIfTrue="1">
      <formula>"esterreur(reference)"</formula>
    </cfRule>
  </conditionalFormatting>
  <conditionalFormatting sqref="L274">
    <cfRule type="expression" dxfId="305" priority="247" stopIfTrue="1">
      <formula>"esterreur(reference)"</formula>
    </cfRule>
  </conditionalFormatting>
  <conditionalFormatting sqref="L63">
    <cfRule type="expression" dxfId="304" priority="329" stopIfTrue="1">
      <formula>"esterreur(reference)"</formula>
    </cfRule>
  </conditionalFormatting>
  <conditionalFormatting sqref="L62">
    <cfRule type="expression" dxfId="303" priority="328" stopIfTrue="1">
      <formula>"esterreur(reference)"</formula>
    </cfRule>
  </conditionalFormatting>
  <conditionalFormatting sqref="L64">
    <cfRule type="expression" dxfId="302" priority="327" stopIfTrue="1">
      <formula>"esterreur(reference)"</formula>
    </cfRule>
  </conditionalFormatting>
  <conditionalFormatting sqref="L65">
    <cfRule type="expression" dxfId="301" priority="326" stopIfTrue="1">
      <formula>"esterreur(reference)"</formula>
    </cfRule>
  </conditionalFormatting>
  <conditionalFormatting sqref="L69 L66:L67">
    <cfRule type="expression" dxfId="300" priority="325" stopIfTrue="1">
      <formula>"esterreur(reference)"</formula>
    </cfRule>
  </conditionalFormatting>
  <conditionalFormatting sqref="L70">
    <cfRule type="expression" dxfId="299" priority="324" stopIfTrue="1">
      <formula>"esterreur(reference)"</formula>
    </cfRule>
  </conditionalFormatting>
  <conditionalFormatting sqref="L76:L77">
    <cfRule type="expression" dxfId="298" priority="323" stopIfTrue="1">
      <formula>"esterreur(reference)"</formula>
    </cfRule>
  </conditionalFormatting>
  <conditionalFormatting sqref="L78:L81">
    <cfRule type="expression" dxfId="297" priority="322" stopIfTrue="1">
      <formula>"esterreur(reference)"</formula>
    </cfRule>
  </conditionalFormatting>
  <conditionalFormatting sqref="L57">
    <cfRule type="expression" dxfId="296" priority="320" stopIfTrue="1">
      <formula>"esterreur(reference)"</formula>
    </cfRule>
  </conditionalFormatting>
  <conditionalFormatting sqref="L94:L95">
    <cfRule type="expression" dxfId="295" priority="319" stopIfTrue="1">
      <formula>"esterreur(reference)"</formula>
    </cfRule>
  </conditionalFormatting>
  <conditionalFormatting sqref="L98">
    <cfRule type="expression" dxfId="294" priority="318" stopIfTrue="1">
      <formula>"esterreur(reference)"</formula>
    </cfRule>
  </conditionalFormatting>
  <conditionalFormatting sqref="L99">
    <cfRule type="expression" dxfId="293" priority="317" stopIfTrue="1">
      <formula>"esterreur(reference)"</formula>
    </cfRule>
  </conditionalFormatting>
  <conditionalFormatting sqref="L101">
    <cfRule type="expression" dxfId="292" priority="316" stopIfTrue="1">
      <formula>"esterreur(reference)"</formula>
    </cfRule>
  </conditionalFormatting>
  <conditionalFormatting sqref="L102">
    <cfRule type="expression" dxfId="291" priority="315" stopIfTrue="1">
      <formula>"esterreur(reference)"</formula>
    </cfRule>
  </conditionalFormatting>
  <conditionalFormatting sqref="L103">
    <cfRule type="expression" dxfId="290" priority="314" stopIfTrue="1">
      <formula>"esterreur(reference)"</formula>
    </cfRule>
  </conditionalFormatting>
  <conditionalFormatting sqref="L111">
    <cfRule type="expression" dxfId="289" priority="313" stopIfTrue="1">
      <formula>"esterreur(reference)"</formula>
    </cfRule>
  </conditionalFormatting>
  <conditionalFormatting sqref="L112">
    <cfRule type="expression" dxfId="288" priority="312" stopIfTrue="1">
      <formula>"esterreur(reference)"</formula>
    </cfRule>
  </conditionalFormatting>
  <conditionalFormatting sqref="L207">
    <cfRule type="expression" dxfId="287" priority="272" stopIfTrue="1">
      <formula>"esterreur(reference)"</formula>
    </cfRule>
  </conditionalFormatting>
  <conditionalFormatting sqref="L114">
    <cfRule type="expression" dxfId="286" priority="311" stopIfTrue="1">
      <formula>"esterreur(reference)"</formula>
    </cfRule>
  </conditionalFormatting>
  <conditionalFormatting sqref="L227">
    <cfRule type="expression" dxfId="285" priority="268" stopIfTrue="1">
      <formula>"esterreur(reference)"</formula>
    </cfRule>
  </conditionalFormatting>
  <conditionalFormatting sqref="L116:L119">
    <cfRule type="expression" dxfId="284" priority="310" stopIfTrue="1">
      <formula>"esterreur(reference)"</formula>
    </cfRule>
  </conditionalFormatting>
  <conditionalFormatting sqref="L120">
    <cfRule type="expression" dxfId="283" priority="309" stopIfTrue="1">
      <formula>"esterreur(reference)"</formula>
    </cfRule>
  </conditionalFormatting>
  <conditionalFormatting sqref="L130">
    <cfRule type="expression" dxfId="282" priority="306" stopIfTrue="1">
      <formula>"esterreur(reference)"</formula>
    </cfRule>
  </conditionalFormatting>
  <conditionalFormatting sqref="L124">
    <cfRule type="expression" dxfId="281" priority="308" stopIfTrue="1">
      <formula>"esterreur(reference)"</formula>
    </cfRule>
  </conditionalFormatting>
  <conditionalFormatting sqref="L123">
    <cfRule type="expression" dxfId="280" priority="307" stopIfTrue="1">
      <formula>"esterreur(reference)"</formula>
    </cfRule>
  </conditionalFormatting>
  <conditionalFormatting sqref="L138">
    <cfRule type="expression" dxfId="279" priority="300" stopIfTrue="1">
      <formula>"esterreur(reference)"</formula>
    </cfRule>
  </conditionalFormatting>
  <conditionalFormatting sqref="L131">
    <cfRule type="expression" dxfId="278" priority="305" stopIfTrue="1">
      <formula>"esterreur(reference)"</formula>
    </cfRule>
  </conditionalFormatting>
  <conditionalFormatting sqref="L132">
    <cfRule type="expression" dxfId="277" priority="304" stopIfTrue="1">
      <formula>"esterreur(reference)"</formula>
    </cfRule>
  </conditionalFormatting>
  <conditionalFormatting sqref="L133">
    <cfRule type="expression" dxfId="276" priority="303" stopIfTrue="1">
      <formula>"esterreur(reference)"</formula>
    </cfRule>
  </conditionalFormatting>
  <conditionalFormatting sqref="L139">
    <cfRule type="expression" dxfId="275" priority="299" stopIfTrue="1">
      <formula>"esterreur(reference)"</formula>
    </cfRule>
  </conditionalFormatting>
  <conditionalFormatting sqref="L136">
    <cfRule type="expression" dxfId="274" priority="302" stopIfTrue="1">
      <formula>"esterreur(reference)"</formula>
    </cfRule>
  </conditionalFormatting>
  <conditionalFormatting sqref="L137">
    <cfRule type="expression" dxfId="273" priority="301" stopIfTrue="1">
      <formula>"esterreur(reference)"</formula>
    </cfRule>
  </conditionalFormatting>
  <conditionalFormatting sqref="L140">
    <cfRule type="expression" dxfId="272" priority="298" stopIfTrue="1">
      <formula>"esterreur(reference)"</formula>
    </cfRule>
  </conditionalFormatting>
  <conditionalFormatting sqref="L141">
    <cfRule type="expression" dxfId="271" priority="297" stopIfTrue="1">
      <formula>"esterreur(reference)"</formula>
    </cfRule>
  </conditionalFormatting>
  <conditionalFormatting sqref="L142">
    <cfRule type="expression" dxfId="270" priority="296" stopIfTrue="1">
      <formula>"esterreur(reference)"</formula>
    </cfRule>
  </conditionalFormatting>
  <conditionalFormatting sqref="L143">
    <cfRule type="expression" dxfId="269" priority="295" stopIfTrue="1">
      <formula>"esterreur(reference)"</formula>
    </cfRule>
  </conditionalFormatting>
  <conditionalFormatting sqref="L144">
    <cfRule type="expression" dxfId="268" priority="294" stopIfTrue="1">
      <formula>"esterreur(reference)"</formula>
    </cfRule>
  </conditionalFormatting>
  <conditionalFormatting sqref="L145">
    <cfRule type="expression" dxfId="267" priority="293" stopIfTrue="1">
      <formula>"esterreur(reference)"</formula>
    </cfRule>
  </conditionalFormatting>
  <conditionalFormatting sqref="L146">
    <cfRule type="expression" dxfId="266" priority="292" stopIfTrue="1">
      <formula>"esterreur(reference)"</formula>
    </cfRule>
  </conditionalFormatting>
  <conditionalFormatting sqref="L147">
    <cfRule type="expression" dxfId="265" priority="291" stopIfTrue="1">
      <formula>"esterreur(reference)"</formula>
    </cfRule>
  </conditionalFormatting>
  <conditionalFormatting sqref="L155">
    <cfRule type="expression" dxfId="264" priority="290" stopIfTrue="1">
      <formula>"esterreur(reference)"</formula>
    </cfRule>
  </conditionalFormatting>
  <conditionalFormatting sqref="L157">
    <cfRule type="expression" dxfId="263" priority="288" stopIfTrue="1">
      <formula>"esterreur(reference)"</formula>
    </cfRule>
  </conditionalFormatting>
  <conditionalFormatting sqref="L156">
    <cfRule type="expression" dxfId="262" priority="289" stopIfTrue="1">
      <formula>"esterreur(reference)"</formula>
    </cfRule>
  </conditionalFormatting>
  <conditionalFormatting sqref="L115">
    <cfRule type="expression" dxfId="261" priority="287" stopIfTrue="1">
      <formula>"esterreur(reference)"</formula>
    </cfRule>
  </conditionalFormatting>
  <conditionalFormatting sqref="L113">
    <cfRule type="expression" dxfId="260" priority="286" stopIfTrue="1">
      <formula>"esterreur(reference)"</formula>
    </cfRule>
  </conditionalFormatting>
  <conditionalFormatting sqref="L171">
    <cfRule type="expression" dxfId="259" priority="285" stopIfTrue="1">
      <formula>"esterreur(reference)"</formula>
    </cfRule>
  </conditionalFormatting>
  <conditionalFormatting sqref="L174">
    <cfRule type="expression" dxfId="258" priority="284" stopIfTrue="1">
      <formula>"esterreur(reference)"</formula>
    </cfRule>
  </conditionalFormatting>
  <conditionalFormatting sqref="L177">
    <cfRule type="expression" dxfId="257" priority="283" stopIfTrue="1">
      <formula>"esterreur(reference)"</formula>
    </cfRule>
  </conditionalFormatting>
  <conditionalFormatting sqref="L187">
    <cfRule type="expression" dxfId="256" priority="281" stopIfTrue="1">
      <formula>"esterreur(reference)"</formula>
    </cfRule>
  </conditionalFormatting>
  <conditionalFormatting sqref="L197">
    <cfRule type="expression" dxfId="255" priority="280" stopIfTrue="1">
      <formula>"esterreur(reference)"</formula>
    </cfRule>
  </conditionalFormatting>
  <conditionalFormatting sqref="L199">
    <cfRule type="expression" dxfId="254" priority="279" stopIfTrue="1">
      <formula>"esterreur(reference)"</formula>
    </cfRule>
  </conditionalFormatting>
  <conditionalFormatting sqref="L198">
    <cfRule type="expression" dxfId="253" priority="278" stopIfTrue="1">
      <formula>"esterreur(reference)"</formula>
    </cfRule>
  </conditionalFormatting>
  <conditionalFormatting sqref="L200">
    <cfRule type="expression" dxfId="252" priority="277" stopIfTrue="1">
      <formula>"esterreur(reference)"</formula>
    </cfRule>
  </conditionalFormatting>
  <conditionalFormatting sqref="L201">
    <cfRule type="expression" dxfId="251" priority="276" stopIfTrue="1">
      <formula>"esterreur(reference)"</formula>
    </cfRule>
  </conditionalFormatting>
  <conditionalFormatting sqref="L202:L204">
    <cfRule type="expression" dxfId="250" priority="275" stopIfTrue="1">
      <formula>"esterreur(reference)"</formula>
    </cfRule>
  </conditionalFormatting>
  <conditionalFormatting sqref="L206">
    <cfRule type="expression" dxfId="249" priority="273" stopIfTrue="1">
      <formula>"esterreur(reference)"</formula>
    </cfRule>
  </conditionalFormatting>
  <conditionalFormatting sqref="L205">
    <cfRule type="expression" dxfId="248" priority="274" stopIfTrue="1">
      <formula>"esterreur(reference)"</formula>
    </cfRule>
  </conditionalFormatting>
  <conditionalFormatting sqref="L208">
    <cfRule type="expression" dxfId="247" priority="271" stopIfTrue="1">
      <formula>"esterreur(reference)"</formula>
    </cfRule>
  </conditionalFormatting>
  <conditionalFormatting sqref="L211:L224">
    <cfRule type="expression" dxfId="246" priority="270" stopIfTrue="1">
      <formula>"esterreur(reference)"</formula>
    </cfRule>
  </conditionalFormatting>
  <conditionalFormatting sqref="L225:L226">
    <cfRule type="expression" dxfId="245" priority="269" stopIfTrue="1">
      <formula>"esterreur(reference)"</formula>
    </cfRule>
  </conditionalFormatting>
  <conditionalFormatting sqref="L180">
    <cfRule type="expression" dxfId="244" priority="267" stopIfTrue="1">
      <formula>"esterreur(reference)"</formula>
    </cfRule>
  </conditionalFormatting>
  <conditionalFormatting sqref="L243">
    <cfRule type="expression" dxfId="243" priority="266" stopIfTrue="1">
      <formula>"esterreur(reference)"</formula>
    </cfRule>
  </conditionalFormatting>
  <conditionalFormatting sqref="L246">
    <cfRule type="expression" dxfId="242" priority="265" stopIfTrue="1">
      <formula>"esterreur(reference)"</formula>
    </cfRule>
  </conditionalFormatting>
  <conditionalFormatting sqref="L253">
    <cfRule type="expression" dxfId="241" priority="264" stopIfTrue="1">
      <formula>"esterreur(reference)"</formula>
    </cfRule>
  </conditionalFormatting>
  <conditionalFormatting sqref="L254">
    <cfRule type="expression" dxfId="240" priority="263" stopIfTrue="1">
      <formula>"esterreur(reference)"</formula>
    </cfRule>
  </conditionalFormatting>
  <conditionalFormatting sqref="L255">
    <cfRule type="expression" dxfId="239" priority="262" stopIfTrue="1">
      <formula>"esterreur(reference)"</formula>
    </cfRule>
  </conditionalFormatting>
  <conditionalFormatting sqref="L256">
    <cfRule type="expression" dxfId="238" priority="261" stopIfTrue="1">
      <formula>"esterreur(reference)"</formula>
    </cfRule>
  </conditionalFormatting>
  <conditionalFormatting sqref="L257">
    <cfRule type="expression" dxfId="237" priority="260" stopIfTrue="1">
      <formula>"esterreur(reference)"</formula>
    </cfRule>
  </conditionalFormatting>
  <conditionalFormatting sqref="L258">
    <cfRule type="expression" dxfId="236" priority="259" stopIfTrue="1">
      <formula>"esterreur(reference)"</formula>
    </cfRule>
  </conditionalFormatting>
  <conditionalFormatting sqref="L259">
    <cfRule type="expression" dxfId="235" priority="258" stopIfTrue="1">
      <formula>"esterreur(reference)"</formula>
    </cfRule>
  </conditionalFormatting>
  <conditionalFormatting sqref="L260">
    <cfRule type="expression" dxfId="234" priority="257" stopIfTrue="1">
      <formula>"esterreur(reference)"</formula>
    </cfRule>
  </conditionalFormatting>
  <conditionalFormatting sqref="L261">
    <cfRule type="expression" dxfId="233" priority="256" stopIfTrue="1">
      <formula>"esterreur(reference)"</formula>
    </cfRule>
  </conditionalFormatting>
  <conditionalFormatting sqref="L262">
    <cfRule type="expression" dxfId="232" priority="255" stopIfTrue="1">
      <formula>"esterreur(reference)"</formula>
    </cfRule>
  </conditionalFormatting>
  <conditionalFormatting sqref="L263:L264">
    <cfRule type="expression" dxfId="231" priority="254" stopIfTrue="1">
      <formula>"esterreur(reference)"</formula>
    </cfRule>
  </conditionalFormatting>
  <conditionalFormatting sqref="L268">
    <cfRule type="expression" dxfId="230" priority="252" stopIfTrue="1">
      <formula>"esterreur(reference)"</formula>
    </cfRule>
  </conditionalFormatting>
  <conditionalFormatting sqref="L267">
    <cfRule type="expression" dxfId="229" priority="253" stopIfTrue="1">
      <formula>"esterreur(reference)"</formula>
    </cfRule>
  </conditionalFormatting>
  <conditionalFormatting sqref="L269">
    <cfRule type="expression" dxfId="228" priority="251" stopIfTrue="1">
      <formula>"esterreur(reference)"</formula>
    </cfRule>
  </conditionalFormatting>
  <conditionalFormatting sqref="L270">
    <cfRule type="expression" dxfId="227" priority="250" stopIfTrue="1">
      <formula>"esterreur(reference)"</formula>
    </cfRule>
  </conditionalFormatting>
  <conditionalFormatting sqref="L272:L273">
    <cfRule type="expression" dxfId="226" priority="248" stopIfTrue="1">
      <formula>"esterreur(reference)"</formula>
    </cfRule>
  </conditionalFormatting>
  <conditionalFormatting sqref="L294:L300">
    <cfRule type="expression" dxfId="225" priority="246" stopIfTrue="1">
      <formula>"esterreur(reference)"</formula>
    </cfRule>
  </conditionalFormatting>
  <conditionalFormatting sqref="L301">
    <cfRule type="expression" dxfId="224" priority="245" stopIfTrue="1">
      <formula>"esterreur(reference)"</formula>
    </cfRule>
  </conditionalFormatting>
  <conditionalFormatting sqref="L302">
    <cfRule type="expression" dxfId="223" priority="244" stopIfTrue="1">
      <formula>"esterreur(reference)"</formula>
    </cfRule>
  </conditionalFormatting>
  <conditionalFormatting sqref="L306">
    <cfRule type="expression" dxfId="222" priority="243" stopIfTrue="1">
      <formula>"esterreur(reference)"</formula>
    </cfRule>
  </conditionalFormatting>
  <conditionalFormatting sqref="L307">
    <cfRule type="expression" dxfId="221" priority="242" stopIfTrue="1">
      <formula>"esterreur(reference)"</formula>
    </cfRule>
  </conditionalFormatting>
  <conditionalFormatting sqref="L311">
    <cfRule type="expression" dxfId="220" priority="241" stopIfTrue="1">
      <formula>"esterreur(reference)"</formula>
    </cfRule>
  </conditionalFormatting>
  <conditionalFormatting sqref="L317">
    <cfRule type="expression" dxfId="219" priority="240" stopIfTrue="1">
      <formula>"esterreur(reference)"</formula>
    </cfRule>
  </conditionalFormatting>
  <conditionalFormatting sqref="L318">
    <cfRule type="expression" dxfId="218" priority="239" stopIfTrue="1">
      <formula>"esterreur(reference)"</formula>
    </cfRule>
  </conditionalFormatting>
  <conditionalFormatting sqref="K5">
    <cfRule type="expression" dxfId="217" priority="233" stopIfTrue="1">
      <formula>"esterreur(reference)"</formula>
    </cfRule>
  </conditionalFormatting>
  <conditionalFormatting sqref="L5">
    <cfRule type="expression" dxfId="216" priority="232" stopIfTrue="1">
      <formula>"esterreur(reference)"</formula>
    </cfRule>
  </conditionalFormatting>
  <conditionalFormatting sqref="K182">
    <cfRule type="expression" dxfId="215" priority="231" stopIfTrue="1">
      <formula>"esterreur(reference)"</formula>
    </cfRule>
  </conditionalFormatting>
  <conditionalFormatting sqref="L93">
    <cfRule type="expression" dxfId="214" priority="230" stopIfTrue="1">
      <formula>"esterreur(reference)"</formula>
    </cfRule>
  </conditionalFormatting>
  <conditionalFormatting sqref="K171">
    <cfRule type="expression" dxfId="213" priority="229" stopIfTrue="1">
      <formula>"esterreur(reference)"</formula>
    </cfRule>
  </conditionalFormatting>
  <conditionalFormatting sqref="K174">
    <cfRule type="expression" dxfId="212" priority="228" stopIfTrue="1">
      <formula>"esterreur(reference)"</formula>
    </cfRule>
  </conditionalFormatting>
  <conditionalFormatting sqref="K177">
    <cfRule type="expression" dxfId="211" priority="227" stopIfTrue="1">
      <formula>"esterreur(reference)"</formula>
    </cfRule>
  </conditionalFormatting>
  <conditionalFormatting sqref="K180">
    <cfRule type="expression" dxfId="210" priority="226" stopIfTrue="1">
      <formula>"esterreur(reference)"</formula>
    </cfRule>
  </conditionalFormatting>
  <conditionalFormatting sqref="K240">
    <cfRule type="expression" dxfId="209" priority="225" stopIfTrue="1">
      <formula>"esterreur(reference)"</formula>
    </cfRule>
  </conditionalFormatting>
  <conditionalFormatting sqref="K243">
    <cfRule type="expression" dxfId="208" priority="224" stopIfTrue="1">
      <formula>"esterreur(reference)"</formula>
    </cfRule>
  </conditionalFormatting>
  <conditionalFormatting sqref="K246">
    <cfRule type="expression" dxfId="207" priority="223" stopIfTrue="1">
      <formula>"esterreur(reference)"</formula>
    </cfRule>
  </conditionalFormatting>
  <conditionalFormatting sqref="J306:J307">
    <cfRule type="expression" dxfId="206" priority="222" stopIfTrue="1">
      <formula>"esterreur(reference)"</formula>
    </cfRule>
  </conditionalFormatting>
  <conditionalFormatting sqref="K187">
    <cfRule type="expression" dxfId="205" priority="221" stopIfTrue="1">
      <formula>"esterreur(reference)"</formula>
    </cfRule>
  </conditionalFormatting>
  <conditionalFormatting sqref="K190">
    <cfRule type="expression" dxfId="204" priority="220" stopIfTrue="1">
      <formula>"esterreur(reference)"</formula>
    </cfRule>
  </conditionalFormatting>
  <conditionalFormatting sqref="J311">
    <cfRule type="expression" dxfId="203" priority="219" stopIfTrue="1">
      <formula>"esterreur(reference)"</formula>
    </cfRule>
  </conditionalFormatting>
  <conditionalFormatting sqref="K93">
    <cfRule type="expression" dxfId="202" priority="216" stopIfTrue="1">
      <formula>"esterreur(reference)"</formula>
    </cfRule>
  </conditionalFormatting>
  <conditionalFormatting sqref="L240">
    <cfRule type="expression" dxfId="201" priority="215" stopIfTrue="1">
      <formula>"esterreur(reference)"</formula>
    </cfRule>
  </conditionalFormatting>
  <conditionalFormatting sqref="K239">
    <cfRule type="expression" dxfId="200" priority="214" stopIfTrue="1">
      <formula>"esterreur(reference)"</formula>
    </cfRule>
  </conditionalFormatting>
  <conditionalFormatting sqref="L239">
    <cfRule type="expression" dxfId="199" priority="213" stopIfTrue="1">
      <formula>"esterreur(reference)"</formula>
    </cfRule>
  </conditionalFormatting>
  <conditionalFormatting sqref="F183">
    <cfRule type="expression" dxfId="198" priority="212" stopIfTrue="1">
      <formula>"esterreur(reference)"</formula>
    </cfRule>
  </conditionalFormatting>
  <conditionalFormatting sqref="S185">
    <cfRule type="expression" dxfId="197" priority="209" stopIfTrue="1">
      <formula>"esterreur(reference)"</formula>
    </cfRule>
  </conditionalFormatting>
  <conditionalFormatting sqref="K286">
    <cfRule type="expression" dxfId="196" priority="208" stopIfTrue="1">
      <formula>"esterreur(reference)"</formula>
    </cfRule>
  </conditionalFormatting>
  <conditionalFormatting sqref="AO408:AO413">
    <cfRule type="cellIs" dxfId="195" priority="207" operator="greaterThan">
      <formula>0</formula>
    </cfRule>
  </conditionalFormatting>
  <conditionalFormatting sqref="L71">
    <cfRule type="expression" dxfId="194" priority="206" stopIfTrue="1">
      <formula>"esterreur(reference)"</formula>
    </cfRule>
  </conditionalFormatting>
  <conditionalFormatting sqref="L210">
    <cfRule type="expression" dxfId="193" priority="203" stopIfTrue="1">
      <formula>"esterreur(reference)"</formula>
    </cfRule>
  </conditionalFormatting>
  <conditionalFormatting sqref="L122">
    <cfRule type="expression" dxfId="192" priority="205" stopIfTrue="1">
      <formula>"esterreur(reference)"</formula>
    </cfRule>
  </conditionalFormatting>
  <conditionalFormatting sqref="L266">
    <cfRule type="expression" dxfId="191" priority="202" stopIfTrue="1">
      <formula>"esterreur(reference)"</formula>
    </cfRule>
  </conditionalFormatting>
  <conditionalFormatting sqref="L135">
    <cfRule type="expression" dxfId="190" priority="204" stopIfTrue="1">
      <formula>"esterreur(reference)"</formula>
    </cfRule>
  </conditionalFormatting>
  <conditionalFormatting sqref="L330">
    <cfRule type="expression" dxfId="189" priority="201" stopIfTrue="1">
      <formula>"esterreur(reference)"</formula>
    </cfRule>
  </conditionalFormatting>
  <conditionalFormatting sqref="L75">
    <cfRule type="expression" dxfId="188" priority="200" stopIfTrue="1">
      <formula>"esterreur(reference)"</formula>
    </cfRule>
  </conditionalFormatting>
  <conditionalFormatting sqref="L60">
    <cfRule type="expression" dxfId="187" priority="198" stopIfTrue="1">
      <formula>"esterreur(reference)"</formula>
    </cfRule>
  </conditionalFormatting>
  <conditionalFormatting sqref="L59">
    <cfRule type="expression" dxfId="186" priority="199" stopIfTrue="1">
      <formula>"esterreur(reference)"</formula>
    </cfRule>
  </conditionalFormatting>
  <conditionalFormatting sqref="F5">
    <cfRule type="expression" dxfId="185" priority="197" stopIfTrue="1">
      <formula>"esterreur(reference)"</formula>
    </cfRule>
  </conditionalFormatting>
  <conditionalFormatting sqref="O25:Q26 Q18 O83:Q85 O41:Q41 O72:Q72 Q24 O13:O14 O16 O18:O24 O49:Q54 Q6:Q14 O31:P40 O42:P48 O28:Q30 O27 Q27">
    <cfRule type="expression" dxfId="184" priority="192" stopIfTrue="1">
      <formula>"esterreur(reference)"</formula>
    </cfRule>
  </conditionalFormatting>
  <conditionalFormatting sqref="P5">
    <cfRule type="expression" dxfId="183" priority="169" stopIfTrue="1">
      <formula>"esterreur(reference)"</formula>
    </cfRule>
  </conditionalFormatting>
  <conditionalFormatting sqref="Q32">
    <cfRule type="expression" dxfId="182" priority="187" stopIfTrue="1">
      <formula>"esterreur(reference)"</formula>
    </cfRule>
  </conditionalFormatting>
  <conditionalFormatting sqref="Q35">
    <cfRule type="expression" dxfId="181" priority="186" stopIfTrue="1">
      <formula>"esterreur(reference)"</formula>
    </cfRule>
  </conditionalFormatting>
  <conditionalFormatting sqref="O55:P56 O71:P71">
    <cfRule type="expression" dxfId="180" priority="193" stopIfTrue="1">
      <formula>"esterreur(reference)"</formula>
    </cfRule>
  </conditionalFormatting>
  <conditionalFormatting sqref="O61:P70">
    <cfRule type="expression" dxfId="179" priority="194" stopIfTrue="1">
      <formula>"esterreur(reference)"</formula>
    </cfRule>
  </conditionalFormatting>
  <conditionalFormatting sqref="O57:P59">
    <cfRule type="expression" dxfId="178" priority="195" stopIfTrue="1">
      <formula>"esterreur(reference)"</formula>
    </cfRule>
  </conditionalFormatting>
  <conditionalFormatting sqref="O60:P60">
    <cfRule type="expression" dxfId="177" priority="196" stopIfTrue="1">
      <formula>"esterreur(reference)"</formula>
    </cfRule>
  </conditionalFormatting>
  <conditionalFormatting sqref="Q19 Q21:Q23">
    <cfRule type="expression" dxfId="176" priority="190" stopIfTrue="1">
      <formula>"esterreur(reference)"</formula>
    </cfRule>
  </conditionalFormatting>
  <conditionalFormatting sqref="Q16:Q17">
    <cfRule type="expression" dxfId="175" priority="191" stopIfTrue="1">
      <formula>"esterreur(reference)"</formula>
    </cfRule>
  </conditionalFormatting>
  <conditionalFormatting sqref="Q20">
    <cfRule type="expression" dxfId="174" priority="189" stopIfTrue="1">
      <formula>"esterreur(reference)"</formula>
    </cfRule>
  </conditionalFormatting>
  <conditionalFormatting sqref="Q31 Q33:Q34">
    <cfRule type="expression" dxfId="173" priority="188" stopIfTrue="1">
      <formula>"esterreur(reference)"</formula>
    </cfRule>
  </conditionalFormatting>
  <conditionalFormatting sqref="Q42">
    <cfRule type="expression" dxfId="172" priority="185" stopIfTrue="1">
      <formula>"esterreur(reference)"</formula>
    </cfRule>
  </conditionalFormatting>
  <conditionalFormatting sqref="Q43">
    <cfRule type="expression" dxfId="171" priority="184" stopIfTrue="1">
      <formula>"esterreur(reference)"</formula>
    </cfRule>
  </conditionalFormatting>
  <conditionalFormatting sqref="Q44">
    <cfRule type="expression" dxfId="170" priority="183" stopIfTrue="1">
      <formula>"esterreur(reference)"</formula>
    </cfRule>
  </conditionalFormatting>
  <conditionalFormatting sqref="Q45:Q48">
    <cfRule type="expression" dxfId="169" priority="182" stopIfTrue="1">
      <formula>"esterreur(reference)"</formula>
    </cfRule>
  </conditionalFormatting>
  <conditionalFormatting sqref="Q55">
    <cfRule type="expression" dxfId="168" priority="181" stopIfTrue="1">
      <formula>"esterreur(reference)"</formula>
    </cfRule>
  </conditionalFormatting>
  <conditionalFormatting sqref="Q56">
    <cfRule type="expression" dxfId="167" priority="180" stopIfTrue="1">
      <formula>"esterreur(reference)"</formula>
    </cfRule>
  </conditionalFormatting>
  <conditionalFormatting sqref="Q58">
    <cfRule type="expression" dxfId="166" priority="179" stopIfTrue="1">
      <formula>"esterreur(reference)"</formula>
    </cfRule>
  </conditionalFormatting>
  <conditionalFormatting sqref="Q61">
    <cfRule type="expression" dxfId="165" priority="178" stopIfTrue="1">
      <formula>"esterreur(reference)"</formula>
    </cfRule>
  </conditionalFormatting>
  <conditionalFormatting sqref="Q63">
    <cfRule type="expression" dxfId="164" priority="177" stopIfTrue="1">
      <formula>"esterreur(reference)"</formula>
    </cfRule>
  </conditionalFormatting>
  <conditionalFormatting sqref="Q62">
    <cfRule type="expression" dxfId="163" priority="176" stopIfTrue="1">
      <formula>"esterreur(reference)"</formula>
    </cfRule>
  </conditionalFormatting>
  <conditionalFormatting sqref="Q64">
    <cfRule type="expression" dxfId="162" priority="175" stopIfTrue="1">
      <formula>"esterreur(reference)"</formula>
    </cfRule>
  </conditionalFormatting>
  <conditionalFormatting sqref="Q65">
    <cfRule type="expression" dxfId="161" priority="174" stopIfTrue="1">
      <formula>"esterreur(reference)"</formula>
    </cfRule>
  </conditionalFormatting>
  <conditionalFormatting sqref="Q66:Q69">
    <cfRule type="expression" dxfId="160" priority="173" stopIfTrue="1">
      <formula>"esterreur(reference)"</formula>
    </cfRule>
  </conditionalFormatting>
  <conditionalFormatting sqref="Q70">
    <cfRule type="expression" dxfId="159" priority="172" stopIfTrue="1">
      <formula>"esterreur(reference)"</formula>
    </cfRule>
  </conditionalFormatting>
  <conditionalFormatting sqref="Q75:Q82">
    <cfRule type="expression" dxfId="158" priority="171" stopIfTrue="1">
      <formula>"esterreur(reference)"</formula>
    </cfRule>
  </conditionalFormatting>
  <conditionalFormatting sqref="Q57">
    <cfRule type="expression" dxfId="157" priority="170" stopIfTrue="1">
      <formula>"esterreur(reference)"</formula>
    </cfRule>
  </conditionalFormatting>
  <conditionalFormatting sqref="Q5">
    <cfRule type="expression" dxfId="156" priority="168" stopIfTrue="1">
      <formula>"esterreur(reference)"</formula>
    </cfRule>
  </conditionalFormatting>
  <conditionalFormatting sqref="Q71">
    <cfRule type="expression" dxfId="155" priority="167" stopIfTrue="1">
      <formula>"esterreur(reference)"</formula>
    </cfRule>
  </conditionalFormatting>
  <conditionalFormatting sqref="Q60">
    <cfRule type="expression" dxfId="154" priority="165" stopIfTrue="1">
      <formula>"esterreur(reference)"</formula>
    </cfRule>
  </conditionalFormatting>
  <conditionalFormatting sqref="P98">
    <cfRule type="expression" dxfId="153" priority="164" stopIfTrue="1">
      <formula>"esterreur(reference)"</formula>
    </cfRule>
  </conditionalFormatting>
  <conditionalFormatting sqref="Q59">
    <cfRule type="expression" dxfId="152" priority="166" stopIfTrue="1">
      <formula>"esterreur(reference)"</formula>
    </cfRule>
  </conditionalFormatting>
  <conditionalFormatting sqref="O163:Q163 O164:P164 O121:Q121 O152:Q152 O96:Q97 O100:Q100 P94:P95 O104:Q110 P99 O134:Q134 O101:P103 O135:P136 O155:P156 O111:P120">
    <cfRule type="expression" dxfId="151" priority="160" stopIfTrue="1">
      <formula>"esterreur(reference)"</formula>
    </cfRule>
  </conditionalFormatting>
  <conditionalFormatting sqref="O141:P147">
    <cfRule type="expression" dxfId="150" priority="161" stopIfTrue="1">
      <formula>"esterreur(reference)"</formula>
    </cfRule>
  </conditionalFormatting>
  <conditionalFormatting sqref="O137:P139">
    <cfRule type="expression" dxfId="149" priority="162" stopIfTrue="1">
      <formula>"esterreur(reference)"</formula>
    </cfRule>
  </conditionalFormatting>
  <conditionalFormatting sqref="O140:P140">
    <cfRule type="expression" dxfId="148" priority="163" stopIfTrue="1">
      <formula>"esterreur(reference)"</formula>
    </cfRule>
  </conditionalFormatting>
  <conditionalFormatting sqref="Q94:Q95">
    <cfRule type="expression" dxfId="147" priority="159" stopIfTrue="1">
      <formula>"esterreur(reference)"</formula>
    </cfRule>
  </conditionalFormatting>
  <conditionalFormatting sqref="Q98">
    <cfRule type="expression" dxfId="146" priority="158" stopIfTrue="1">
      <formula>"esterreur(reference)"</formula>
    </cfRule>
  </conditionalFormatting>
  <conditionalFormatting sqref="Q99">
    <cfRule type="expression" dxfId="145" priority="157" stopIfTrue="1">
      <formula>"esterreur(reference)"</formula>
    </cfRule>
  </conditionalFormatting>
  <conditionalFormatting sqref="Q101">
    <cfRule type="expression" dxfId="144" priority="156" stopIfTrue="1">
      <formula>"esterreur(reference)"</formula>
    </cfRule>
  </conditionalFormatting>
  <conditionalFormatting sqref="Q102">
    <cfRule type="expression" dxfId="143" priority="155" stopIfTrue="1">
      <formula>"esterreur(reference)"</formula>
    </cfRule>
  </conditionalFormatting>
  <conditionalFormatting sqref="Q103">
    <cfRule type="expression" dxfId="142" priority="154" stopIfTrue="1">
      <formula>"esterreur(reference)"</formula>
    </cfRule>
  </conditionalFormatting>
  <conditionalFormatting sqref="Q111">
    <cfRule type="expression" dxfId="141" priority="153" stopIfTrue="1">
      <formula>"esterreur(reference)"</formula>
    </cfRule>
  </conditionalFormatting>
  <conditionalFormatting sqref="Q112">
    <cfRule type="expression" dxfId="140" priority="152" stopIfTrue="1">
      <formula>"esterreur(reference)"</formula>
    </cfRule>
  </conditionalFormatting>
  <conditionalFormatting sqref="Q114">
    <cfRule type="expression" dxfId="139" priority="151" stopIfTrue="1">
      <formula>"esterreur(reference)"</formula>
    </cfRule>
  </conditionalFormatting>
  <conditionalFormatting sqref="Q116:Q119">
    <cfRule type="expression" dxfId="138" priority="150" stopIfTrue="1">
      <formula>"esterreur(reference)"</formula>
    </cfRule>
  </conditionalFormatting>
  <conditionalFormatting sqref="Q120">
    <cfRule type="expression" dxfId="137" priority="149" stopIfTrue="1">
      <formula>"esterreur(reference)"</formula>
    </cfRule>
  </conditionalFormatting>
  <conditionalFormatting sqref="Q130">
    <cfRule type="expression" dxfId="136" priority="146" stopIfTrue="1">
      <formula>"esterreur(reference)"</formula>
    </cfRule>
  </conditionalFormatting>
  <conditionalFormatting sqref="Q124">
    <cfRule type="expression" dxfId="135" priority="148" stopIfTrue="1">
      <formula>"esterreur(reference)"</formula>
    </cfRule>
  </conditionalFormatting>
  <conditionalFormatting sqref="Q123">
    <cfRule type="expression" dxfId="134" priority="147" stopIfTrue="1">
      <formula>"esterreur(reference)"</formula>
    </cfRule>
  </conditionalFormatting>
  <conditionalFormatting sqref="Q139">
    <cfRule type="expression" dxfId="133" priority="139" stopIfTrue="1">
      <formula>"esterreur(reference)"</formula>
    </cfRule>
  </conditionalFormatting>
  <conditionalFormatting sqref="Q131">
    <cfRule type="expression" dxfId="132" priority="145" stopIfTrue="1">
      <formula>"esterreur(reference)"</formula>
    </cfRule>
  </conditionalFormatting>
  <conditionalFormatting sqref="Q132">
    <cfRule type="expression" dxfId="131" priority="144" stopIfTrue="1">
      <formula>"esterreur(reference)"</formula>
    </cfRule>
  </conditionalFormatting>
  <conditionalFormatting sqref="Q133">
    <cfRule type="expression" dxfId="130" priority="143" stopIfTrue="1">
      <formula>"esterreur(reference)"</formula>
    </cfRule>
  </conditionalFormatting>
  <conditionalFormatting sqref="Q141">
    <cfRule type="expression" dxfId="129" priority="137" stopIfTrue="1">
      <formula>"esterreur(reference)"</formula>
    </cfRule>
  </conditionalFormatting>
  <conditionalFormatting sqref="Q136">
    <cfRule type="expression" dxfId="128" priority="142" stopIfTrue="1">
      <formula>"esterreur(reference)"</formula>
    </cfRule>
  </conditionalFormatting>
  <conditionalFormatting sqref="Q137">
    <cfRule type="expression" dxfId="127" priority="141" stopIfTrue="1">
      <formula>"esterreur(reference)"</formula>
    </cfRule>
  </conditionalFormatting>
  <conditionalFormatting sqref="Q138">
    <cfRule type="expression" dxfId="126" priority="140" stopIfTrue="1">
      <formula>"esterreur(reference)"</formula>
    </cfRule>
  </conditionalFormatting>
  <conditionalFormatting sqref="Q143">
    <cfRule type="expression" dxfId="125" priority="135" stopIfTrue="1">
      <formula>"esterreur(reference)"</formula>
    </cfRule>
  </conditionalFormatting>
  <conditionalFormatting sqref="Q140">
    <cfRule type="expression" dxfId="124" priority="138" stopIfTrue="1">
      <formula>"esterreur(reference)"</formula>
    </cfRule>
  </conditionalFormatting>
  <conditionalFormatting sqref="Q142">
    <cfRule type="expression" dxfId="123" priority="136" stopIfTrue="1">
      <formula>"esterreur(reference)"</formula>
    </cfRule>
  </conditionalFormatting>
  <conditionalFormatting sqref="Q144">
    <cfRule type="expression" dxfId="122" priority="134" stopIfTrue="1">
      <formula>"esterreur(reference)"</formula>
    </cfRule>
  </conditionalFormatting>
  <conditionalFormatting sqref="Q145">
    <cfRule type="expression" dxfId="121" priority="133" stopIfTrue="1">
      <formula>"esterreur(reference)"</formula>
    </cfRule>
  </conditionalFormatting>
  <conditionalFormatting sqref="Q146">
    <cfRule type="expression" dxfId="120" priority="132" stopIfTrue="1">
      <formula>"esterreur(reference)"</formula>
    </cfRule>
  </conditionalFormatting>
  <conditionalFormatting sqref="Q147">
    <cfRule type="expression" dxfId="119" priority="131" stopIfTrue="1">
      <formula>"esterreur(reference)"</formula>
    </cfRule>
  </conditionalFormatting>
  <conditionalFormatting sqref="Q113">
    <cfRule type="expression" dxfId="118" priority="128" stopIfTrue="1">
      <formula>"esterreur(reference)"</formula>
    </cfRule>
  </conditionalFormatting>
  <conditionalFormatting sqref="Q155:Q161">
    <cfRule type="expression" dxfId="117" priority="130" stopIfTrue="1">
      <formula>"esterreur(reference)"</formula>
    </cfRule>
  </conditionalFormatting>
  <conditionalFormatting sqref="Q93">
    <cfRule type="expression" dxfId="116" priority="127" stopIfTrue="1">
      <formula>"esterreur(reference)"</formula>
    </cfRule>
  </conditionalFormatting>
  <conditionalFormatting sqref="Q115">
    <cfRule type="expression" dxfId="115" priority="129" stopIfTrue="1">
      <formula>"esterreur(reference)"</formula>
    </cfRule>
  </conditionalFormatting>
  <conditionalFormatting sqref="P93">
    <cfRule type="expression" dxfId="114" priority="126" stopIfTrue="1">
      <formula>"esterreur(reference)"</formula>
    </cfRule>
  </conditionalFormatting>
  <conditionalFormatting sqref="Q122">
    <cfRule type="expression" dxfId="113" priority="125" stopIfTrue="1">
      <formula>"esterreur(reference)"</formula>
    </cfRule>
  </conditionalFormatting>
  <conditionalFormatting sqref="Q135">
    <cfRule type="expression" dxfId="112" priority="124" stopIfTrue="1">
      <formula>"esterreur(reference)"</formula>
    </cfRule>
  </conditionalFormatting>
  <conditionalFormatting sqref="O171:O195 O231:Q231 O232:P232 P172:Q172 P175:Q176 P178:Q179 P181:Q181 P184:Q186 P183 P188:Q189 Q182 P191:Q195 Q190 Q173 O225:P228 O197:P218">
    <cfRule type="expression" dxfId="111" priority="121" stopIfTrue="1">
      <formula>"esterreur(reference)"</formula>
    </cfRule>
  </conditionalFormatting>
  <conditionalFormatting sqref="O219:P224">
    <cfRule type="expression" dxfId="110" priority="122" stopIfTrue="1">
      <formula>"esterreur(reference)"</formula>
    </cfRule>
  </conditionalFormatting>
  <conditionalFormatting sqref="O196:Q196">
    <cfRule type="expression" dxfId="109" priority="123" stopIfTrue="1">
      <formula>"esterreur(reference)"</formula>
    </cfRule>
  </conditionalFormatting>
  <conditionalFormatting sqref="Q207">
    <cfRule type="expression" dxfId="108" priority="107" stopIfTrue="1">
      <formula>"esterreur(reference)"</formula>
    </cfRule>
  </conditionalFormatting>
  <conditionalFormatting sqref="Q227">
    <cfRule type="expression" dxfId="107" priority="103" stopIfTrue="1">
      <formula>"esterreur(reference)"</formula>
    </cfRule>
  </conditionalFormatting>
  <conditionalFormatting sqref="Q171">
    <cfRule type="expression" dxfId="106" priority="120" stopIfTrue="1">
      <formula>"esterreur(reference)"</formula>
    </cfRule>
  </conditionalFormatting>
  <conditionalFormatting sqref="Q174">
    <cfRule type="expression" dxfId="105" priority="119" stopIfTrue="1">
      <formula>"esterreur(reference)"</formula>
    </cfRule>
  </conditionalFormatting>
  <conditionalFormatting sqref="Q177">
    <cfRule type="expression" dxfId="104" priority="118" stopIfTrue="1">
      <formula>"esterreur(reference)"</formula>
    </cfRule>
  </conditionalFormatting>
  <conditionalFormatting sqref="Q183">
    <cfRule type="expression" dxfId="103" priority="117" stopIfTrue="1">
      <formula>"esterreur(reference)"</formula>
    </cfRule>
  </conditionalFormatting>
  <conditionalFormatting sqref="Q187">
    <cfRule type="expression" dxfId="102" priority="116" stopIfTrue="1">
      <formula>"esterreur(reference)"</formula>
    </cfRule>
  </conditionalFormatting>
  <conditionalFormatting sqref="Q197">
    <cfRule type="expression" dxfId="101" priority="115" stopIfTrue="1">
      <formula>"esterreur(reference)"</formula>
    </cfRule>
  </conditionalFormatting>
  <conditionalFormatting sqref="Q199">
    <cfRule type="expression" dxfId="100" priority="114" stopIfTrue="1">
      <formula>"esterreur(reference)"</formula>
    </cfRule>
  </conditionalFormatting>
  <conditionalFormatting sqref="Q198">
    <cfRule type="expression" dxfId="99" priority="113" stopIfTrue="1">
      <formula>"esterreur(reference)"</formula>
    </cfRule>
  </conditionalFormatting>
  <conditionalFormatting sqref="Q200">
    <cfRule type="expression" dxfId="98" priority="112" stopIfTrue="1">
      <formula>"esterreur(reference)"</formula>
    </cfRule>
  </conditionalFormatting>
  <conditionalFormatting sqref="Q201">
    <cfRule type="expression" dxfId="97" priority="111" stopIfTrue="1">
      <formula>"esterreur(reference)"</formula>
    </cfRule>
  </conditionalFormatting>
  <conditionalFormatting sqref="Q202:Q204">
    <cfRule type="expression" dxfId="96" priority="110" stopIfTrue="1">
      <formula>"esterreur(reference)"</formula>
    </cfRule>
  </conditionalFormatting>
  <conditionalFormatting sqref="Q206">
    <cfRule type="expression" dxfId="95" priority="108" stopIfTrue="1">
      <formula>"esterreur(reference)"</formula>
    </cfRule>
  </conditionalFormatting>
  <conditionalFormatting sqref="Q205">
    <cfRule type="expression" dxfId="94" priority="109" stopIfTrue="1">
      <formula>"esterreur(reference)"</formula>
    </cfRule>
  </conditionalFormatting>
  <conditionalFormatting sqref="Q208">
    <cfRule type="expression" dxfId="93" priority="106" stopIfTrue="1">
      <formula>"esterreur(reference)"</formula>
    </cfRule>
  </conditionalFormatting>
  <conditionalFormatting sqref="Q211:Q224">
    <cfRule type="expression" dxfId="92" priority="105" stopIfTrue="1">
      <formula>"esterreur(reference)"</formula>
    </cfRule>
  </conditionalFormatting>
  <conditionalFormatting sqref="Q225:Q226">
    <cfRule type="expression" dxfId="91" priority="104" stopIfTrue="1">
      <formula>"esterreur(reference)"</formula>
    </cfRule>
  </conditionalFormatting>
  <conditionalFormatting sqref="Q180">
    <cfRule type="expression" dxfId="90" priority="102" stopIfTrue="1">
      <formula>"esterreur(reference)"</formula>
    </cfRule>
  </conditionalFormatting>
  <conditionalFormatting sqref="P182">
    <cfRule type="expression" dxfId="89" priority="101" stopIfTrue="1">
      <formula>"esterreur(reference)"</formula>
    </cfRule>
  </conditionalFormatting>
  <conditionalFormatting sqref="P171">
    <cfRule type="expression" dxfId="88" priority="100" stopIfTrue="1">
      <formula>"esterreur(reference)"</formula>
    </cfRule>
  </conditionalFormatting>
  <conditionalFormatting sqref="P174">
    <cfRule type="expression" dxfId="87" priority="99" stopIfTrue="1">
      <formula>"esterreur(reference)"</formula>
    </cfRule>
  </conditionalFormatting>
  <conditionalFormatting sqref="P177">
    <cfRule type="expression" dxfId="86" priority="98" stopIfTrue="1">
      <formula>"esterreur(reference)"</formula>
    </cfRule>
  </conditionalFormatting>
  <conditionalFormatting sqref="P180">
    <cfRule type="expression" dxfId="85" priority="97" stopIfTrue="1">
      <formula>"esterreur(reference)"</formula>
    </cfRule>
  </conditionalFormatting>
  <conditionalFormatting sqref="P187">
    <cfRule type="expression" dxfId="84" priority="96" stopIfTrue="1">
      <formula>"esterreur(reference)"</formula>
    </cfRule>
  </conditionalFormatting>
  <conditionalFormatting sqref="P190">
    <cfRule type="expression" dxfId="83" priority="95" stopIfTrue="1">
      <formula>"esterreur(reference)"</formula>
    </cfRule>
  </conditionalFormatting>
  <conditionalFormatting sqref="Q210">
    <cfRule type="expression" dxfId="82" priority="94" stopIfTrue="1">
      <formula>"esterreur(reference)"</formula>
    </cfRule>
  </conditionalFormatting>
  <conditionalFormatting sqref="O287:Q287 O288:P288 O242:Q242 O251:Q252 O284:Q284 Q275:Q283 O253:P274">
    <cfRule type="expression" dxfId="81" priority="91" stopIfTrue="1">
      <formula>"esterreur(reference)"</formula>
    </cfRule>
  </conditionalFormatting>
  <conditionalFormatting sqref="O275:P280">
    <cfRule type="expression" dxfId="80" priority="92" stopIfTrue="1">
      <formula>"esterreur(reference)"</formula>
    </cfRule>
  </conditionalFormatting>
  <conditionalFormatting sqref="O281:P283">
    <cfRule type="expression" dxfId="79" priority="93" stopIfTrue="1">
      <formula>"esterreur(reference)"</formula>
    </cfRule>
  </conditionalFormatting>
  <conditionalFormatting sqref="Q271">
    <cfRule type="expression" dxfId="78" priority="73" stopIfTrue="1">
      <formula>"esterreur(reference)"</formula>
    </cfRule>
  </conditionalFormatting>
  <conditionalFormatting sqref="Q274">
    <cfRule type="expression" dxfId="77" priority="71" stopIfTrue="1">
      <formula>"esterreur(reference)"</formula>
    </cfRule>
  </conditionalFormatting>
  <conditionalFormatting sqref="Q243">
    <cfRule type="expression" dxfId="76" priority="90" stopIfTrue="1">
      <formula>"esterreur(reference)"</formula>
    </cfRule>
  </conditionalFormatting>
  <conditionalFormatting sqref="Q246">
    <cfRule type="expression" dxfId="75" priority="89" stopIfTrue="1">
      <formula>"esterreur(reference)"</formula>
    </cfRule>
  </conditionalFormatting>
  <conditionalFormatting sqref="Q253">
    <cfRule type="expression" dxfId="74" priority="88" stopIfTrue="1">
      <formula>"esterreur(reference)"</formula>
    </cfRule>
  </conditionalFormatting>
  <conditionalFormatting sqref="Q254">
    <cfRule type="expression" dxfId="73" priority="87" stopIfTrue="1">
      <formula>"esterreur(reference)"</formula>
    </cfRule>
  </conditionalFormatting>
  <conditionalFormatting sqref="Q255">
    <cfRule type="expression" dxfId="72" priority="86" stopIfTrue="1">
      <formula>"esterreur(reference)"</formula>
    </cfRule>
  </conditionalFormatting>
  <conditionalFormatting sqref="Q256">
    <cfRule type="expression" dxfId="71" priority="85" stopIfTrue="1">
      <formula>"esterreur(reference)"</formula>
    </cfRule>
  </conditionalFormatting>
  <conditionalFormatting sqref="Q257">
    <cfRule type="expression" dxfId="70" priority="84" stopIfTrue="1">
      <formula>"esterreur(reference)"</formula>
    </cfRule>
  </conditionalFormatting>
  <conditionalFormatting sqref="Q258">
    <cfRule type="expression" dxfId="69" priority="83" stopIfTrue="1">
      <formula>"esterreur(reference)"</formula>
    </cfRule>
  </conditionalFormatting>
  <conditionalFormatting sqref="Q259">
    <cfRule type="expression" dxfId="68" priority="82" stopIfTrue="1">
      <formula>"esterreur(reference)"</formula>
    </cfRule>
  </conditionalFormatting>
  <conditionalFormatting sqref="Q260">
    <cfRule type="expression" dxfId="67" priority="81" stopIfTrue="1">
      <formula>"esterreur(reference)"</formula>
    </cfRule>
  </conditionalFormatting>
  <conditionalFormatting sqref="Q261">
    <cfRule type="expression" dxfId="66" priority="80" stopIfTrue="1">
      <formula>"esterreur(reference)"</formula>
    </cfRule>
  </conditionalFormatting>
  <conditionalFormatting sqref="Q262">
    <cfRule type="expression" dxfId="65" priority="79" stopIfTrue="1">
      <formula>"esterreur(reference)"</formula>
    </cfRule>
  </conditionalFormatting>
  <conditionalFormatting sqref="Q263:Q264">
    <cfRule type="expression" dxfId="64" priority="78" stopIfTrue="1">
      <formula>"esterreur(reference)"</formula>
    </cfRule>
  </conditionalFormatting>
  <conditionalFormatting sqref="Q268">
    <cfRule type="expression" dxfId="63" priority="76" stopIfTrue="1">
      <formula>"esterreur(reference)"</formula>
    </cfRule>
  </conditionalFormatting>
  <conditionalFormatting sqref="Q267">
    <cfRule type="expression" dxfId="62" priority="77" stopIfTrue="1">
      <formula>"esterreur(reference)"</formula>
    </cfRule>
  </conditionalFormatting>
  <conditionalFormatting sqref="Q269">
    <cfRule type="expression" dxfId="61" priority="75" stopIfTrue="1">
      <formula>"esterreur(reference)"</formula>
    </cfRule>
  </conditionalFormatting>
  <conditionalFormatting sqref="Q270">
    <cfRule type="expression" dxfId="60" priority="74" stopIfTrue="1">
      <formula>"esterreur(reference)"</formula>
    </cfRule>
  </conditionalFormatting>
  <conditionalFormatting sqref="Q272:Q273">
    <cfRule type="expression" dxfId="59" priority="72" stopIfTrue="1">
      <formula>"esterreur(reference)"</formula>
    </cfRule>
  </conditionalFormatting>
  <conditionalFormatting sqref="P240">
    <cfRule type="expression" dxfId="58" priority="70" stopIfTrue="1">
      <formula>"esterreur(reference)"</formula>
    </cfRule>
  </conditionalFormatting>
  <conditionalFormatting sqref="P243">
    <cfRule type="expression" dxfId="57" priority="69" stopIfTrue="1">
      <formula>"esterreur(reference)"</formula>
    </cfRule>
  </conditionalFormatting>
  <conditionalFormatting sqref="P246">
    <cfRule type="expression" dxfId="56" priority="68" stopIfTrue="1">
      <formula>"esterreur(reference)"</formula>
    </cfRule>
  </conditionalFormatting>
  <conditionalFormatting sqref="Q240">
    <cfRule type="expression" dxfId="55" priority="67" stopIfTrue="1">
      <formula>"esterreur(reference)"</formula>
    </cfRule>
  </conditionalFormatting>
  <conditionalFormatting sqref="P286">
    <cfRule type="expression" dxfId="54" priority="66" stopIfTrue="1">
      <formula>"esterreur(reference)"</formula>
    </cfRule>
  </conditionalFormatting>
  <conditionalFormatting sqref="Q266">
    <cfRule type="expression" dxfId="53" priority="65" stopIfTrue="1">
      <formula>"esterreur(reference)"</formula>
    </cfRule>
  </conditionalFormatting>
  <conditionalFormatting sqref="O308:Q310 O303:Q305 O351:Q351 O352:P352 O348:Q348 O312:Q315 P306:P307 P311 O294:P302 Q319:Q324 O317:P347">
    <cfRule type="expression" dxfId="52" priority="63" stopIfTrue="1">
      <formula>"esterreur(reference)"</formula>
    </cfRule>
  </conditionalFormatting>
  <conditionalFormatting sqref="O316:Q316">
    <cfRule type="expression" dxfId="51" priority="64" stopIfTrue="1">
      <formula>"esterreur(reference)"</formula>
    </cfRule>
  </conditionalFormatting>
  <conditionalFormatting sqref="Q331:Q347">
    <cfRule type="expression" dxfId="50" priority="50" stopIfTrue="1">
      <formula>"esterreur(reference)"</formula>
    </cfRule>
  </conditionalFormatting>
  <conditionalFormatting sqref="Q325">
    <cfRule type="expression" dxfId="49" priority="54" stopIfTrue="1">
      <formula>"esterreur(reference)"</formula>
    </cfRule>
  </conditionalFormatting>
  <conditionalFormatting sqref="Q326">
    <cfRule type="expression" dxfId="48" priority="53" stopIfTrue="1">
      <formula>"esterreur(reference)"</formula>
    </cfRule>
  </conditionalFormatting>
  <conditionalFormatting sqref="Q327">
    <cfRule type="expression" dxfId="47" priority="52" stopIfTrue="1">
      <formula>"esterreur(reference)"</formula>
    </cfRule>
  </conditionalFormatting>
  <conditionalFormatting sqref="Q328">
    <cfRule type="expression" dxfId="46" priority="51" stopIfTrue="1">
      <formula>"esterreur(reference)"</formula>
    </cfRule>
  </conditionalFormatting>
  <conditionalFormatting sqref="Q294:Q300">
    <cfRule type="expression" dxfId="45" priority="62" stopIfTrue="1">
      <formula>"esterreur(reference)"</formula>
    </cfRule>
  </conditionalFormatting>
  <conditionalFormatting sqref="Q301">
    <cfRule type="expression" dxfId="44" priority="61" stopIfTrue="1">
      <formula>"esterreur(reference)"</formula>
    </cfRule>
  </conditionalFormatting>
  <conditionalFormatting sqref="Q302">
    <cfRule type="expression" dxfId="43" priority="60" stopIfTrue="1">
      <formula>"esterreur(reference)"</formula>
    </cfRule>
  </conditionalFormatting>
  <conditionalFormatting sqref="Q306">
    <cfRule type="expression" dxfId="42" priority="59" stopIfTrue="1">
      <formula>"esterreur(reference)"</formula>
    </cfRule>
  </conditionalFormatting>
  <conditionalFormatting sqref="Q307">
    <cfRule type="expression" dxfId="41" priority="58" stopIfTrue="1">
      <formula>"esterreur(reference)"</formula>
    </cfRule>
  </conditionalFormatting>
  <conditionalFormatting sqref="Q311">
    <cfRule type="expression" dxfId="40" priority="57" stopIfTrue="1">
      <formula>"esterreur(reference)"</formula>
    </cfRule>
  </conditionalFormatting>
  <conditionalFormatting sqref="Q317">
    <cfRule type="expression" dxfId="39" priority="56" stopIfTrue="1">
      <formula>"esterreur(reference)"</formula>
    </cfRule>
  </conditionalFormatting>
  <conditionalFormatting sqref="Q318">
    <cfRule type="expression" dxfId="38" priority="55" stopIfTrue="1">
      <formula>"esterreur(reference)"</formula>
    </cfRule>
  </conditionalFormatting>
  <conditionalFormatting sqref="O306:O307">
    <cfRule type="expression" dxfId="37" priority="49" stopIfTrue="1">
      <formula>"esterreur(reference)"</formula>
    </cfRule>
  </conditionalFormatting>
  <conditionalFormatting sqref="O311">
    <cfRule type="expression" dxfId="36" priority="48" stopIfTrue="1">
      <formula>"esterreur(reference)"</formula>
    </cfRule>
  </conditionalFormatting>
  <conditionalFormatting sqref="Q330">
    <cfRule type="expression" dxfId="35" priority="47" stopIfTrue="1">
      <formula>"esterreur(reference)"</formula>
    </cfRule>
  </conditionalFormatting>
  <conditionalFormatting sqref="Q36:Q40">
    <cfRule type="expression" dxfId="34" priority="36" stopIfTrue="1">
      <formula>"esterreur(reference)"</formula>
    </cfRule>
  </conditionalFormatting>
  <conditionalFormatting sqref="L68">
    <cfRule type="expression" dxfId="33" priority="35" stopIfTrue="1">
      <formula>"esterreur(reference)"</formula>
    </cfRule>
  </conditionalFormatting>
  <conditionalFormatting sqref="Q149:Q151">
    <cfRule type="expression" dxfId="32" priority="27" stopIfTrue="1">
      <formula>"esterreur(reference)"</formula>
    </cfRule>
  </conditionalFormatting>
  <conditionalFormatting sqref="H148 J148:K148">
    <cfRule type="expression" dxfId="31" priority="34" stopIfTrue="1">
      <formula>"esterreur(reference)"</formula>
    </cfRule>
  </conditionalFormatting>
  <conditionalFormatting sqref="L148">
    <cfRule type="expression" dxfId="30" priority="33" stopIfTrue="1">
      <formula>"esterreur(reference)"</formula>
    </cfRule>
  </conditionalFormatting>
  <conditionalFormatting sqref="O148:P148">
    <cfRule type="expression" dxfId="29" priority="32" stopIfTrue="1">
      <formula>"esterreur(reference)"</formula>
    </cfRule>
  </conditionalFormatting>
  <conditionalFormatting sqref="Q148">
    <cfRule type="expression" dxfId="28" priority="31" stopIfTrue="1">
      <formula>"esterreur(reference)"</formula>
    </cfRule>
  </conditionalFormatting>
  <conditionalFormatting sqref="H149:H151 J149:K151">
    <cfRule type="expression" dxfId="27" priority="30" stopIfTrue="1">
      <formula>"esterreur(reference)"</formula>
    </cfRule>
  </conditionalFormatting>
  <conditionalFormatting sqref="L149:L151">
    <cfRule type="expression" dxfId="26" priority="29" stopIfTrue="1">
      <formula>"esterreur(reference)"</formula>
    </cfRule>
  </conditionalFormatting>
  <conditionalFormatting sqref="O149:P151">
    <cfRule type="expression" dxfId="25" priority="28" stopIfTrue="1">
      <formula>"esterreur(reference)"</formula>
    </cfRule>
  </conditionalFormatting>
  <conditionalFormatting sqref="L158:L161">
    <cfRule type="expression" dxfId="24" priority="26" stopIfTrue="1">
      <formula>"esterreur(reference)"</formula>
    </cfRule>
  </conditionalFormatting>
  <conditionalFormatting sqref="AG414:AI417">
    <cfRule type="cellIs" dxfId="23" priority="25" operator="greaterThan">
      <formula>0</formula>
    </cfRule>
  </conditionalFormatting>
  <conditionalFormatting sqref="AO414:AO417">
    <cfRule type="cellIs" dxfId="22" priority="24" operator="greaterThan">
      <formula>0</formula>
    </cfRule>
  </conditionalFormatting>
  <conditionalFormatting sqref="H353:H354 J353:K354 J399:K399 H399 H363:L363 H364:H375 J364:K375">
    <cfRule type="expression" dxfId="21" priority="17" stopIfTrue="1">
      <formula>"esterreur(reference)"</formula>
    </cfRule>
  </conditionalFormatting>
  <conditionalFormatting sqref="K356 J356:J357 H356:I356 L355:L356 H358:L358">
    <cfRule type="expression" dxfId="20" priority="18" stopIfTrue="1">
      <formula>"esterreur(reference)"</formula>
    </cfRule>
  </conditionalFormatting>
  <conditionalFormatting sqref="H396">
    <cfRule type="expression" dxfId="19" priority="19" stopIfTrue="1">
      <formula>"esterreur(reference)"</formula>
    </cfRule>
  </conditionalFormatting>
  <conditionalFormatting sqref="I376:L376 H377:H392 J377:K392">
    <cfRule type="expression" dxfId="18" priority="20" stopIfTrue="1">
      <formula>"esterreur(reference)"</formula>
    </cfRule>
  </conditionalFormatting>
  <conditionalFormatting sqref="H397:L398 I396:L396 H395:L395 H393:H394 J393:K393">
    <cfRule type="expression" dxfId="17" priority="21" stopIfTrue="1">
      <formula>"esterreur(reference)"</formula>
    </cfRule>
  </conditionalFormatting>
  <conditionalFormatting sqref="H360:L362 H359 K359">
    <cfRule type="expression" dxfId="16" priority="22" stopIfTrue="1">
      <formula>"esterreur(reference)"</formula>
    </cfRule>
  </conditionalFormatting>
  <conditionalFormatting sqref="K394">
    <cfRule type="expression" dxfId="15" priority="23" stopIfTrue="1">
      <formula>"esterreur(reference)"</formula>
    </cfRule>
  </conditionalFormatting>
  <conditionalFormatting sqref="L364:L375">
    <cfRule type="expression" dxfId="14" priority="16" stopIfTrue="1">
      <formula>"esterreur(reference)"</formula>
    </cfRule>
  </conditionalFormatting>
  <conditionalFormatting sqref="J359">
    <cfRule type="expression" dxfId="13" priority="14" stopIfTrue="1">
      <formula>"esterreur(reference)"</formula>
    </cfRule>
  </conditionalFormatting>
  <conditionalFormatting sqref="L359">
    <cfRule type="expression" dxfId="12" priority="13" stopIfTrue="1">
      <formula>"esterreur(reference)"</formula>
    </cfRule>
  </conditionalFormatting>
  <conditionalFormatting sqref="O363:Q363 O364:P375">
    <cfRule type="expression" dxfId="11" priority="7" stopIfTrue="1">
      <formula>"esterreur(reference)"</formula>
    </cfRule>
  </conditionalFormatting>
  <conditionalFormatting sqref="O358:Q358">
    <cfRule type="expression" dxfId="10" priority="8" stopIfTrue="1">
      <formula>"esterreur(reference)"</formula>
    </cfRule>
  </conditionalFormatting>
  <conditionalFormatting sqref="O376:Q376 O377:P392">
    <cfRule type="expression" dxfId="9" priority="9" stopIfTrue="1">
      <formula>"esterreur(reference)"</formula>
    </cfRule>
  </conditionalFormatting>
  <conditionalFormatting sqref="O395:Q398 O393:P393">
    <cfRule type="expression" dxfId="8" priority="10" stopIfTrue="1">
      <formula>"esterreur(reference)"</formula>
    </cfRule>
  </conditionalFormatting>
  <conditionalFormatting sqref="O360:Q362 P359">
    <cfRule type="expression" dxfId="7" priority="11" stopIfTrue="1">
      <formula>"esterreur(reference)"</formula>
    </cfRule>
  </conditionalFormatting>
  <conditionalFormatting sqref="P394">
    <cfRule type="expression" dxfId="6" priority="12" stopIfTrue="1">
      <formula>"esterreur(reference)"</formula>
    </cfRule>
  </conditionalFormatting>
  <conditionalFormatting sqref="Q364:Q375">
    <cfRule type="expression" dxfId="5" priority="6" stopIfTrue="1">
      <formula>"esterreur(reference)"</formula>
    </cfRule>
  </conditionalFormatting>
  <conditionalFormatting sqref="Q377:Q393">
    <cfRule type="expression" dxfId="4" priority="5" stopIfTrue="1">
      <formula>"esterreur(reference)"</formula>
    </cfRule>
  </conditionalFormatting>
  <conditionalFormatting sqref="O359">
    <cfRule type="expression" dxfId="3" priority="4" stopIfTrue="1">
      <formula>"esterreur(reference)"</formula>
    </cfRule>
  </conditionalFormatting>
  <conditionalFormatting sqref="Q359">
    <cfRule type="expression" dxfId="2" priority="3" stopIfTrue="1">
      <formula>"esterreur(reference)"</formula>
    </cfRule>
  </conditionalFormatting>
  <conditionalFormatting sqref="L377:L393">
    <cfRule type="expression" dxfId="1" priority="2" stopIfTrue="1">
      <formula>"esterreur(reference)"</formula>
    </cfRule>
  </conditionalFormatting>
  <conditionalFormatting sqref="G184">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workbookViewId="0">
      <selection activeCell="C36" sqref="C36"/>
    </sheetView>
  </sheetViews>
  <sheetFormatPr baseColWidth="10" defaultColWidth="11" defaultRowHeight="15"/>
  <cols>
    <col min="1" max="1" width="3.25" style="1249" customWidth="1"/>
    <col min="2" max="2" width="16.375" style="1249" customWidth="1"/>
    <col min="3" max="5" width="11.125" style="1249" customWidth="1"/>
    <col min="6" max="6" width="3.25" style="1249" customWidth="1"/>
    <col min="7" max="7" width="16.375" style="1249" customWidth="1"/>
    <col min="8" max="10" width="11.125" style="1249" customWidth="1"/>
    <col min="11" max="11" width="3.25" style="1249" customWidth="1"/>
    <col min="12" max="12" width="16.375" style="1249" customWidth="1"/>
    <col min="13" max="15" width="11.125" style="1249" customWidth="1"/>
    <col min="16" max="16" width="3.25" style="1249" customWidth="1"/>
    <col min="17" max="17" width="16.375" style="1249" customWidth="1"/>
    <col min="18" max="20" width="11.125" style="1249" customWidth="1"/>
    <col min="21" max="16384" width="11" style="1249"/>
  </cols>
  <sheetData>
    <row r="1" spans="1:21" ht="16.5" thickTop="1" thickBot="1">
      <c r="B1" s="1301" t="s">
        <v>3329</v>
      </c>
      <c r="C1" s="1302"/>
      <c r="D1" s="1302"/>
      <c r="E1" s="1302"/>
      <c r="F1" s="1302"/>
      <c r="G1" s="1302"/>
      <c r="H1" s="1302"/>
      <c r="I1" s="1302"/>
      <c r="J1" s="1302"/>
      <c r="K1" s="1302"/>
      <c r="L1" s="1302"/>
      <c r="M1" s="1302"/>
      <c r="N1" s="1302"/>
      <c r="O1" s="1302"/>
      <c r="P1" s="1302"/>
      <c r="Q1" s="1302"/>
      <c r="R1" s="1302"/>
      <c r="S1" s="1302"/>
      <c r="T1" s="1303"/>
    </row>
    <row r="2" spans="1:21" ht="15.75" thickTop="1">
      <c r="A2" s="1270"/>
      <c r="B2" s="1270"/>
      <c r="C2" s="1270"/>
      <c r="D2" s="1270"/>
      <c r="E2" s="1270"/>
      <c r="F2" s="1270"/>
      <c r="G2" s="1270"/>
      <c r="H2" s="1270"/>
      <c r="I2" s="1270"/>
      <c r="J2" s="1270"/>
      <c r="K2" s="1270"/>
      <c r="L2" s="1270"/>
      <c r="M2" s="1270"/>
      <c r="N2" s="1270"/>
      <c r="O2" s="1270"/>
      <c r="P2" s="1270"/>
      <c r="Q2" s="1270"/>
      <c r="R2" s="1270"/>
      <c r="S2" s="1270"/>
      <c r="T2" s="1270"/>
      <c r="U2" s="1270"/>
    </row>
    <row r="3" spans="1:21">
      <c r="A3" s="1270"/>
      <c r="B3" s="1248" t="s">
        <v>3302</v>
      </c>
      <c r="C3" s="1269" t="s">
        <v>3303</v>
      </c>
      <c r="D3" s="1269" t="s">
        <v>3304</v>
      </c>
      <c r="E3" s="1269" t="s">
        <v>3305</v>
      </c>
      <c r="F3" s="1270"/>
      <c r="G3" s="1248" t="s">
        <v>3306</v>
      </c>
      <c r="H3" s="1269" t="s">
        <v>3303</v>
      </c>
      <c r="I3" s="1269" t="s">
        <v>3304</v>
      </c>
      <c r="J3" s="1269" t="s">
        <v>3305</v>
      </c>
      <c r="K3" s="1270"/>
      <c r="L3" s="1248" t="s">
        <v>155</v>
      </c>
      <c r="M3" s="1269" t="s">
        <v>3307</v>
      </c>
      <c r="N3" s="1269" t="s">
        <v>3308</v>
      </c>
      <c r="O3" s="1269" t="s">
        <v>3305</v>
      </c>
      <c r="P3" s="1270"/>
      <c r="Q3" s="1248" t="s">
        <v>3309</v>
      </c>
      <c r="R3" s="1269" t="s">
        <v>3303</v>
      </c>
      <c r="S3" s="1269" t="s">
        <v>3310</v>
      </c>
      <c r="T3" s="1269" t="s">
        <v>1914</v>
      </c>
      <c r="U3" s="1270"/>
    </row>
    <row r="4" spans="1:21">
      <c r="A4" s="1270"/>
      <c r="B4" s="1271" t="s">
        <v>3311</v>
      </c>
      <c r="C4" s="1270"/>
      <c r="D4" s="1270"/>
      <c r="E4" s="1270"/>
      <c r="F4" s="1270"/>
      <c r="G4" s="1271" t="s">
        <v>3311</v>
      </c>
      <c r="H4" s="1270"/>
      <c r="I4" s="1270"/>
      <c r="J4" s="1270"/>
      <c r="K4" s="1270"/>
      <c r="L4" s="1271" t="s">
        <v>3311</v>
      </c>
      <c r="M4" s="1270"/>
      <c r="N4" s="1270"/>
      <c r="O4" s="1270"/>
      <c r="P4" s="1270"/>
      <c r="Q4" s="1271" t="s">
        <v>3311</v>
      </c>
      <c r="R4" s="1270"/>
      <c r="S4" s="1270"/>
      <c r="T4" s="1270"/>
      <c r="U4" s="1270"/>
    </row>
    <row r="5" spans="1:21">
      <c r="A5" s="1270"/>
      <c r="B5" s="1250" t="s">
        <v>3312</v>
      </c>
      <c r="C5" s="1267">
        <f>Print_AAD!J27</f>
        <v>0</v>
      </c>
      <c r="D5" s="1251" t="e">
        <f>Print_AAD!L27/Print_AAD!J27</f>
        <v>#DIV/0!</v>
      </c>
      <c r="E5" s="1252" t="e">
        <f>+C5*D5</f>
        <v>#DIV/0!</v>
      </c>
      <c r="F5" s="1270"/>
      <c r="G5" s="1250" t="s">
        <v>3312</v>
      </c>
      <c r="H5" s="1267">
        <f>Print_AAD!J107</f>
        <v>0</v>
      </c>
      <c r="I5" s="1251" t="e">
        <f>Print_AAD!L107/Print_AAD!J107</f>
        <v>#DIV/0!</v>
      </c>
      <c r="J5" s="1252" t="e">
        <f>+H5*I5</f>
        <v>#DIV/0!</v>
      </c>
      <c r="K5" s="1270"/>
      <c r="L5" s="1250" t="s">
        <v>3312</v>
      </c>
      <c r="M5" s="1253">
        <f>Print_AAD!K193</f>
        <v>0</v>
      </c>
      <c r="N5" s="1254" t="e">
        <f>O5/M5</f>
        <v>#DIV/0!</v>
      </c>
      <c r="O5" s="1255">
        <f>Print_AAD!L193</f>
        <v>0</v>
      </c>
      <c r="P5" s="1270"/>
      <c r="Q5" s="1250" t="s">
        <v>3312</v>
      </c>
      <c r="R5" s="1256">
        <f>Print_AAD!J184</f>
        <v>0</v>
      </c>
      <c r="S5" s="1251" t="e">
        <f>Print_AAD!K184/Print_AAD!J184</f>
        <v>#DIV/0!</v>
      </c>
      <c r="T5" s="1252" t="e">
        <f>+R5*S5</f>
        <v>#DIV/0!</v>
      </c>
      <c r="U5" s="1270"/>
    </row>
    <row r="6" spans="1:21">
      <c r="A6" s="1270"/>
      <c r="B6" s="1272" t="s">
        <v>6</v>
      </c>
      <c r="C6" s="1273">
        <f>Print_AAD!G27</f>
        <v>720.92230058032385</v>
      </c>
      <c r="D6" s="1274">
        <f>Print_AAD!I27/Print_AAD!G27</f>
        <v>2816.7300408509186</v>
      </c>
      <c r="E6" s="1275">
        <f>+C6*D6</f>
        <v>2030643.5011639539</v>
      </c>
      <c r="F6" s="1270"/>
      <c r="G6" s="1272" t="s">
        <v>6</v>
      </c>
      <c r="H6" s="1273">
        <f>Print_AAD!G107</f>
        <v>755.2492650386007</v>
      </c>
      <c r="I6" s="1274">
        <f>Print_AAD!I107/Print_AAD!G107</f>
        <v>1773.5940903255241</v>
      </c>
      <c r="J6" s="1275">
        <f>+H6*I6</f>
        <v>1339505.6331951576</v>
      </c>
      <c r="K6" s="1270"/>
      <c r="L6" s="1272" t="s">
        <v>6</v>
      </c>
      <c r="M6" s="1276">
        <f>Print_AAD!H193</f>
        <v>2604608.8559066965</v>
      </c>
      <c r="N6" s="1257">
        <f>O6/M6</f>
        <v>0.67031813144583741</v>
      </c>
      <c r="O6" s="1277">
        <f>Print_AAD!I193</f>
        <v>1745916.5414386571</v>
      </c>
      <c r="P6" s="1270"/>
      <c r="Q6" s="1272" t="s">
        <v>6</v>
      </c>
      <c r="R6" s="1298">
        <f>Print_AAD!G184</f>
        <v>10487.196335209126</v>
      </c>
      <c r="S6" s="1274">
        <f>Print_AAD!H184/Print_AAD!G184</f>
        <v>224.1518510646784</v>
      </c>
      <c r="T6" s="1275">
        <f>+R6*S6</f>
        <v>2350724.471015837</v>
      </c>
      <c r="U6" s="1270"/>
    </row>
    <row r="7" spans="1:21" ht="15.75" thickBot="1">
      <c r="A7" s="1270"/>
      <c r="B7" s="1278" t="s">
        <v>3311</v>
      </c>
      <c r="C7" s="1279">
        <f>+C5-C6</f>
        <v>-720.92230058032385</v>
      </c>
      <c r="D7" s="1280" t="e">
        <f t="shared" ref="D7:E7" si="0">+D5-D6</f>
        <v>#DIV/0!</v>
      </c>
      <c r="E7" s="1258" t="e">
        <f t="shared" si="0"/>
        <v>#DIV/0!</v>
      </c>
      <c r="F7" s="1270"/>
      <c r="G7" s="1278" t="s">
        <v>3311</v>
      </c>
      <c r="H7" s="1279">
        <f>+H5-H6</f>
        <v>-755.2492650386007</v>
      </c>
      <c r="I7" s="1280" t="e">
        <f t="shared" ref="I7:J7" si="1">+I5-I6</f>
        <v>#DIV/0!</v>
      </c>
      <c r="J7" s="1258" t="e">
        <f t="shared" si="1"/>
        <v>#DIV/0!</v>
      </c>
      <c r="K7" s="1270"/>
      <c r="L7" s="1278" t="s">
        <v>3311</v>
      </c>
      <c r="M7" s="1281">
        <f>+M5-M6</f>
        <v>-2604608.8559066965</v>
      </c>
      <c r="N7" s="1282" t="e">
        <f t="shared" ref="N7:O7" si="2">+N5-N6</f>
        <v>#DIV/0!</v>
      </c>
      <c r="O7" s="1259">
        <f t="shared" si="2"/>
        <v>-1745916.5414386571</v>
      </c>
      <c r="P7" s="1270"/>
      <c r="Q7" s="1278" t="s">
        <v>3311</v>
      </c>
      <c r="R7" s="1299">
        <f>+R5-R6</f>
        <v>-10487.196335209126</v>
      </c>
      <c r="S7" s="1280" t="e">
        <f t="shared" ref="S7:T7" si="3">+S5-S6</f>
        <v>#DIV/0!</v>
      </c>
      <c r="T7" s="1260" t="e">
        <f t="shared" si="3"/>
        <v>#DIV/0!</v>
      </c>
      <c r="U7" s="1270"/>
    </row>
    <row r="8" spans="1:21" ht="15.75" thickTop="1">
      <c r="A8" s="1270"/>
      <c r="B8" s="1270"/>
      <c r="C8" s="1261">
        <f>+C7/C6</f>
        <v>-1</v>
      </c>
      <c r="D8" s="1261" t="e">
        <f>+D7/D6</f>
        <v>#DIV/0!</v>
      </c>
      <c r="E8" s="1275"/>
      <c r="F8" s="1270"/>
      <c r="G8" s="1270"/>
      <c r="H8" s="1261">
        <f>+H7/H6</f>
        <v>-1</v>
      </c>
      <c r="I8" s="1261" t="e">
        <f>+I7/I6</f>
        <v>#DIV/0!</v>
      </c>
      <c r="J8" s="1275"/>
      <c r="K8" s="1270"/>
      <c r="L8" s="1270"/>
      <c r="M8" s="1261">
        <f>+M7/M6</f>
        <v>-1</v>
      </c>
      <c r="N8" s="1261" t="e">
        <f>+N7/N6</f>
        <v>#DIV/0!</v>
      </c>
      <c r="O8" s="1284"/>
      <c r="P8" s="1270"/>
      <c r="Q8" s="1270"/>
      <c r="R8" s="1261">
        <f>+R7/R6</f>
        <v>-1</v>
      </c>
      <c r="S8" s="1261" t="e">
        <f>+S7/S6</f>
        <v>#DIV/0!</v>
      </c>
      <c r="T8" s="1275"/>
      <c r="U8" s="1270"/>
    </row>
    <row r="9" spans="1:21">
      <c r="A9" s="1270"/>
      <c r="B9" s="1271" t="s">
        <v>3313</v>
      </c>
      <c r="C9" s="1270"/>
      <c r="D9" s="1275"/>
      <c r="E9" s="1275"/>
      <c r="F9" s="1270"/>
      <c r="G9" s="1271" t="s">
        <v>3313</v>
      </c>
      <c r="H9" s="1283"/>
      <c r="I9" s="1275"/>
      <c r="J9" s="1275"/>
      <c r="K9" s="1270"/>
      <c r="L9" s="1271" t="s">
        <v>3313</v>
      </c>
      <c r="M9" s="1275"/>
      <c r="N9" s="1285"/>
      <c r="O9" s="1284"/>
      <c r="P9" s="1270"/>
      <c r="Q9" s="1271" t="s">
        <v>3313</v>
      </c>
      <c r="R9" s="1270"/>
      <c r="S9" s="1275"/>
      <c r="T9" s="1275"/>
      <c r="U9" s="1270"/>
    </row>
    <row r="10" spans="1:21">
      <c r="A10" s="1270"/>
      <c r="B10" s="1272" t="s">
        <v>3314</v>
      </c>
      <c r="C10" s="1268">
        <f>+C5</f>
        <v>0</v>
      </c>
      <c r="D10" s="1252" t="e">
        <f>+D5</f>
        <v>#DIV/0!</v>
      </c>
      <c r="E10" s="1275" t="e">
        <f>+C10*D10</f>
        <v>#DIV/0!</v>
      </c>
      <c r="F10" s="1270"/>
      <c r="G10" s="1272" t="s">
        <v>3314</v>
      </c>
      <c r="H10" s="1268">
        <f>+H5</f>
        <v>0</v>
      </c>
      <c r="I10" s="1252" t="e">
        <f>+I5</f>
        <v>#DIV/0!</v>
      </c>
      <c r="J10" s="1275" t="e">
        <f>+H10*I10</f>
        <v>#DIV/0!</v>
      </c>
      <c r="K10" s="1270"/>
      <c r="L10" s="1272" t="s">
        <v>3314</v>
      </c>
      <c r="M10" s="1262">
        <f>+M5</f>
        <v>0</v>
      </c>
      <c r="N10" s="1263" t="e">
        <f>+N5</f>
        <v>#DIV/0!</v>
      </c>
      <c r="O10" s="1284" t="e">
        <f>+M10*N10</f>
        <v>#DIV/0!</v>
      </c>
      <c r="P10" s="1270"/>
      <c r="Q10" s="1272" t="s">
        <v>3314</v>
      </c>
      <c r="R10" s="1264">
        <f>+R5</f>
        <v>0</v>
      </c>
      <c r="S10" s="1252" t="e">
        <f>+S5</f>
        <v>#DIV/0!</v>
      </c>
      <c r="T10" s="1275" t="e">
        <f>+R10*S10</f>
        <v>#DIV/0!</v>
      </c>
      <c r="U10" s="1270"/>
    </row>
    <row r="11" spans="1:21">
      <c r="A11" s="1270"/>
      <c r="B11" s="1272" t="s">
        <v>3315</v>
      </c>
      <c r="C11" s="1268">
        <f>+C5</f>
        <v>0</v>
      </c>
      <c r="D11" s="1275">
        <f>+D6</f>
        <v>2816.7300408509186</v>
      </c>
      <c r="E11" s="1275">
        <f>C11*D11</f>
        <v>0</v>
      </c>
      <c r="F11" s="1270"/>
      <c r="G11" s="1272" t="s">
        <v>3315</v>
      </c>
      <c r="H11" s="1268">
        <f>+H5</f>
        <v>0</v>
      </c>
      <c r="I11" s="1275">
        <f>+I6</f>
        <v>1773.5940903255241</v>
      </c>
      <c r="J11" s="1275">
        <f>H11*I11</f>
        <v>0</v>
      </c>
      <c r="K11" s="1270"/>
      <c r="L11" s="1272" t="s">
        <v>3315</v>
      </c>
      <c r="M11" s="1262">
        <f>+M5</f>
        <v>0</v>
      </c>
      <c r="N11" s="1286">
        <f>+N6</f>
        <v>0.67031813144583741</v>
      </c>
      <c r="O11" s="1284">
        <f>M11*N11</f>
        <v>0</v>
      </c>
      <c r="P11" s="1270"/>
      <c r="Q11" s="1272" t="s">
        <v>3315</v>
      </c>
      <c r="R11" s="1264">
        <f>+R5</f>
        <v>0</v>
      </c>
      <c r="S11" s="1275">
        <f>+S6</f>
        <v>224.1518510646784</v>
      </c>
      <c r="T11" s="1275">
        <f>R11*S11</f>
        <v>0</v>
      </c>
      <c r="U11" s="1270"/>
    </row>
    <row r="12" spans="1:21" ht="15.75" thickBot="1">
      <c r="A12" s="1270"/>
      <c r="B12" s="1278" t="s">
        <v>3313</v>
      </c>
      <c r="C12" s="1279">
        <f>+C10-C11</f>
        <v>0</v>
      </c>
      <c r="D12" s="1280" t="e">
        <f t="shared" ref="D12:E12" si="4">+D10-D11</f>
        <v>#DIV/0!</v>
      </c>
      <c r="E12" s="1258" t="e">
        <f t="shared" si="4"/>
        <v>#DIV/0!</v>
      </c>
      <c r="F12" s="1270"/>
      <c r="G12" s="1278" t="s">
        <v>3313</v>
      </c>
      <c r="H12" s="1279">
        <f>+H10-H11</f>
        <v>0</v>
      </c>
      <c r="I12" s="1280" t="e">
        <f t="shared" ref="I12:J12" si="5">+I10-I11</f>
        <v>#DIV/0!</v>
      </c>
      <c r="J12" s="1258" t="e">
        <f t="shared" si="5"/>
        <v>#DIV/0!</v>
      </c>
      <c r="K12" s="1270"/>
      <c r="L12" s="1278" t="s">
        <v>3313</v>
      </c>
      <c r="M12" s="1281">
        <f>+M10-M11</f>
        <v>0</v>
      </c>
      <c r="N12" s="1282" t="e">
        <f t="shared" ref="N12:O12" si="6">+N10-N11</f>
        <v>#DIV/0!</v>
      </c>
      <c r="O12" s="1259" t="e">
        <f t="shared" si="6"/>
        <v>#DIV/0!</v>
      </c>
      <c r="P12" s="1270"/>
      <c r="Q12" s="1278" t="s">
        <v>3313</v>
      </c>
      <c r="R12" s="1299">
        <f>+R10-R11</f>
        <v>0</v>
      </c>
      <c r="S12" s="1280" t="e">
        <f t="shared" ref="S12:T12" si="7">+S10-S11</f>
        <v>#DIV/0!</v>
      </c>
      <c r="T12" s="1260" t="e">
        <f t="shared" si="7"/>
        <v>#DIV/0!</v>
      </c>
      <c r="U12" s="1270"/>
    </row>
    <row r="13" spans="1:21" ht="15.75" thickTop="1">
      <c r="A13" s="1270"/>
      <c r="B13" s="1272"/>
      <c r="C13" s="1283"/>
      <c r="D13" s="1275"/>
      <c r="E13" s="1275"/>
      <c r="F13" s="1270"/>
      <c r="G13" s="1272"/>
      <c r="H13" s="1283"/>
      <c r="I13" s="1275"/>
      <c r="J13" s="1275"/>
      <c r="K13" s="1270"/>
      <c r="L13" s="1272"/>
      <c r="M13" s="1275"/>
      <c r="N13" s="1287"/>
      <c r="O13" s="1288"/>
      <c r="P13" s="1270"/>
      <c r="Q13" s="1272"/>
      <c r="R13" s="1270"/>
      <c r="S13" s="1275"/>
      <c r="T13" s="1275"/>
      <c r="U13" s="1270"/>
    </row>
    <row r="14" spans="1:21">
      <c r="A14" s="1270"/>
      <c r="B14" s="1271" t="s">
        <v>3316</v>
      </c>
      <c r="C14" s="1283"/>
      <c r="D14" s="1275"/>
      <c r="E14" s="1275"/>
      <c r="F14" s="1270"/>
      <c r="G14" s="1271" t="s">
        <v>3316</v>
      </c>
      <c r="H14" s="1283"/>
      <c r="I14" s="1275"/>
      <c r="J14" s="1275"/>
      <c r="K14" s="1270"/>
      <c r="L14" s="1271" t="s">
        <v>3316</v>
      </c>
      <c r="M14" s="1275"/>
      <c r="N14" s="1286"/>
      <c r="O14" s="1284"/>
      <c r="P14" s="1270"/>
      <c r="Q14" s="1271" t="s">
        <v>3316</v>
      </c>
      <c r="R14" s="1270"/>
      <c r="S14" s="1275"/>
      <c r="T14" s="1275"/>
      <c r="U14" s="1270"/>
    </row>
    <row r="15" spans="1:21">
      <c r="A15" s="1270"/>
      <c r="B15" s="1272" t="s">
        <v>3317</v>
      </c>
      <c r="C15" s="1268">
        <f>+C5</f>
        <v>0</v>
      </c>
      <c r="D15" s="1275">
        <f>+D6</f>
        <v>2816.7300408509186</v>
      </c>
      <c r="E15" s="1275">
        <f>+C15*D15</f>
        <v>0</v>
      </c>
      <c r="F15" s="1270"/>
      <c r="G15" s="1272" t="s">
        <v>3317</v>
      </c>
      <c r="H15" s="1268">
        <f>+H5</f>
        <v>0</v>
      </c>
      <c r="I15" s="1275">
        <f>+I6</f>
        <v>1773.5940903255241</v>
      </c>
      <c r="J15" s="1275">
        <f>+H15*I15</f>
        <v>0</v>
      </c>
      <c r="K15" s="1270"/>
      <c r="L15" s="1272" t="s">
        <v>3317</v>
      </c>
      <c r="M15" s="1262">
        <f>+M5</f>
        <v>0</v>
      </c>
      <c r="N15" s="1286">
        <f>+N6</f>
        <v>0.67031813144583741</v>
      </c>
      <c r="O15" s="1284">
        <f>+M15*N15</f>
        <v>0</v>
      </c>
      <c r="P15" s="1270"/>
      <c r="Q15" s="1272" t="s">
        <v>3317</v>
      </c>
      <c r="R15" s="1264">
        <f>+R5</f>
        <v>0</v>
      </c>
      <c r="S15" s="1275">
        <f>+S6</f>
        <v>224.1518510646784</v>
      </c>
      <c r="T15" s="1275">
        <f>+R15*S15</f>
        <v>0</v>
      </c>
      <c r="U15" s="1270"/>
    </row>
    <row r="16" spans="1:21">
      <c r="A16" s="1270"/>
      <c r="B16" s="1272" t="s">
        <v>3318</v>
      </c>
      <c r="C16" s="1289">
        <f>+C6</f>
        <v>720.92230058032385</v>
      </c>
      <c r="D16" s="1275">
        <f>+D6</f>
        <v>2816.7300408509186</v>
      </c>
      <c r="E16" s="1275">
        <f>C16*D16</f>
        <v>2030643.5011639539</v>
      </c>
      <c r="F16" s="1270"/>
      <c r="G16" s="1272" t="s">
        <v>3318</v>
      </c>
      <c r="H16" s="1289">
        <f>+H6</f>
        <v>755.2492650386007</v>
      </c>
      <c r="I16" s="1275">
        <f>+I6</f>
        <v>1773.5940903255241</v>
      </c>
      <c r="J16" s="1275">
        <f>H16*I16</f>
        <v>1339505.6331951576</v>
      </c>
      <c r="K16" s="1270"/>
      <c r="L16" s="1272" t="s">
        <v>3318</v>
      </c>
      <c r="M16" s="1290">
        <f>+M6</f>
        <v>2604608.8559066965</v>
      </c>
      <c r="N16" s="1286">
        <f>+N6</f>
        <v>0.67031813144583741</v>
      </c>
      <c r="O16" s="1284">
        <f>M16*N16</f>
        <v>1745916.5414386571</v>
      </c>
      <c r="P16" s="1270"/>
      <c r="Q16" s="1272" t="s">
        <v>3318</v>
      </c>
      <c r="R16" s="1300">
        <f>+R6</f>
        <v>10487.196335209126</v>
      </c>
      <c r="S16" s="1275">
        <f>+S6</f>
        <v>224.1518510646784</v>
      </c>
      <c r="T16" s="1275">
        <f>R16*S16</f>
        <v>2350724.471015837</v>
      </c>
      <c r="U16" s="1270"/>
    </row>
    <row r="17" spans="1:21" ht="15.75" thickBot="1">
      <c r="A17" s="1270"/>
      <c r="B17" s="1278" t="s">
        <v>3316</v>
      </c>
      <c r="C17" s="1279">
        <f>+C15-C16</f>
        <v>-720.92230058032385</v>
      </c>
      <c r="D17" s="1280">
        <f t="shared" ref="D17:E17" si="8">+D15-D16</f>
        <v>0</v>
      </c>
      <c r="E17" s="1258">
        <f t="shared" si="8"/>
        <v>-2030643.5011639539</v>
      </c>
      <c r="F17" s="1270"/>
      <c r="G17" s="1278" t="s">
        <v>3316</v>
      </c>
      <c r="H17" s="1279">
        <f>+H15-H16</f>
        <v>-755.2492650386007</v>
      </c>
      <c r="I17" s="1280">
        <f t="shared" ref="I17:J17" si="9">+I15-I16</f>
        <v>0</v>
      </c>
      <c r="J17" s="1258">
        <f t="shared" si="9"/>
        <v>-1339505.6331951576</v>
      </c>
      <c r="K17" s="1270"/>
      <c r="L17" s="1278" t="s">
        <v>3316</v>
      </c>
      <c r="M17" s="1281">
        <f>+M15-M16</f>
        <v>-2604608.8559066965</v>
      </c>
      <c r="N17" s="1282">
        <f t="shared" ref="N17:O17" si="10">+N15-N16</f>
        <v>0</v>
      </c>
      <c r="O17" s="1259">
        <f t="shared" si="10"/>
        <v>-1745916.5414386571</v>
      </c>
      <c r="P17" s="1270"/>
      <c r="Q17" s="1278" t="s">
        <v>3316</v>
      </c>
      <c r="R17" s="1299">
        <f>+R15-R16</f>
        <v>-10487.196335209126</v>
      </c>
      <c r="S17" s="1280">
        <f t="shared" ref="S17:T17" si="11">+S15-S16</f>
        <v>0</v>
      </c>
      <c r="T17" s="1260">
        <f t="shared" si="11"/>
        <v>-2350724.471015837</v>
      </c>
      <c r="U17" s="1270"/>
    </row>
    <row r="18" spans="1:21" ht="15.75" thickTop="1">
      <c r="A18" s="1270"/>
      <c r="B18" s="1270"/>
      <c r="C18" s="1283"/>
      <c r="D18" s="1275"/>
      <c r="E18" s="1265" t="e">
        <f>+E7-E12-E17</f>
        <v>#DIV/0!</v>
      </c>
      <c r="F18" s="1270"/>
      <c r="G18" s="1270"/>
      <c r="H18" s="1283"/>
      <c r="I18" s="1275"/>
      <c r="J18" s="1265" t="e">
        <f>+J7-J12-J17</f>
        <v>#DIV/0!</v>
      </c>
      <c r="K18" s="1270"/>
      <c r="L18" s="1270"/>
      <c r="M18" s="1275"/>
      <c r="N18" s="1286"/>
      <c r="O18" s="1266" t="e">
        <f>+O7-O12-O17</f>
        <v>#DIV/0!</v>
      </c>
      <c r="P18" s="1270"/>
      <c r="Q18" s="1270"/>
      <c r="R18" s="1270"/>
      <c r="S18" s="1275"/>
      <c r="T18" s="1265" t="e">
        <f>+T7-T12-T17</f>
        <v>#DIV/0!</v>
      </c>
      <c r="U18" s="1270"/>
    </row>
    <row r="19" spans="1:21">
      <c r="A19" s="1270"/>
      <c r="B19" s="1291" t="s">
        <v>3319</v>
      </c>
      <c r="C19" s="1283"/>
      <c r="D19" s="1275"/>
      <c r="E19" s="1275"/>
      <c r="F19" s="1270"/>
      <c r="G19" s="1291" t="s">
        <v>3319</v>
      </c>
      <c r="H19" s="1283"/>
      <c r="I19" s="1275"/>
      <c r="J19" s="1275"/>
      <c r="K19" s="1270"/>
      <c r="L19" s="1291" t="s">
        <v>3319</v>
      </c>
      <c r="M19" s="1275"/>
      <c r="N19" s="1286"/>
      <c r="O19" s="1284"/>
      <c r="P19" s="1270"/>
      <c r="Q19" s="1291" t="s">
        <v>3319</v>
      </c>
      <c r="R19" s="1270"/>
      <c r="S19" s="1275"/>
      <c r="T19" s="1275"/>
      <c r="U19" s="1270"/>
    </row>
    <row r="20" spans="1:21">
      <c r="A20" s="1270"/>
      <c r="B20" s="1272" t="s">
        <v>3320</v>
      </c>
      <c r="C20" s="1289">
        <f>MAX(C5:C6)</f>
        <v>720.92230058032385</v>
      </c>
      <c r="D20" s="1275" t="e">
        <f>MAX(D5:D6)</f>
        <v>#DIV/0!</v>
      </c>
      <c r="E20" s="1275" t="e">
        <f t="shared" ref="E20:E22" si="12">+C20*D20</f>
        <v>#DIV/0!</v>
      </c>
      <c r="F20" s="1270"/>
      <c r="G20" s="1272" t="s">
        <v>3320</v>
      </c>
      <c r="H20" s="1289">
        <f>MAX(H5:H6)</f>
        <v>755.2492650386007</v>
      </c>
      <c r="I20" s="1275" t="e">
        <f>MAX(I5:I6)</f>
        <v>#DIV/0!</v>
      </c>
      <c r="J20" s="1275" t="e">
        <f t="shared" ref="J20" si="13">+H20*I20</f>
        <v>#DIV/0!</v>
      </c>
      <c r="K20" s="1270"/>
      <c r="L20" s="1272" t="s">
        <v>3320</v>
      </c>
      <c r="M20" s="1290">
        <f>MAX(M5:M6)</f>
        <v>2604608.8559066965</v>
      </c>
      <c r="N20" s="1286" t="e">
        <f>MAX(N5:N6)</f>
        <v>#DIV/0!</v>
      </c>
      <c r="O20" s="1284" t="e">
        <f t="shared" ref="O20" si="14">+M20*N20</f>
        <v>#DIV/0!</v>
      </c>
      <c r="P20" s="1270"/>
      <c r="Q20" s="1272" t="s">
        <v>3320</v>
      </c>
      <c r="R20" s="1300">
        <f>MAX(R5:R6)</f>
        <v>10487.196335209126</v>
      </c>
      <c r="S20" s="1275" t="e">
        <f>MAX(S5:S6)</f>
        <v>#DIV/0!</v>
      </c>
      <c r="T20" s="1275" t="e">
        <f t="shared" ref="T20" si="15">+R20*S20</f>
        <v>#DIV/0!</v>
      </c>
      <c r="U20" s="1270"/>
    </row>
    <row r="21" spans="1:21">
      <c r="A21" s="1270"/>
      <c r="B21" s="1278" t="s">
        <v>3321</v>
      </c>
      <c r="C21" s="1289"/>
      <c r="D21" s="1275"/>
      <c r="E21" s="1292" t="e">
        <f>AVERAGE(E20,E22)</f>
        <v>#DIV/0!</v>
      </c>
      <c r="F21" s="1270"/>
      <c r="G21" s="1278" t="s">
        <v>3321</v>
      </c>
      <c r="H21" s="1289"/>
      <c r="I21" s="1275"/>
      <c r="J21" s="1292" t="e">
        <f>AVERAGE(J20,J22)</f>
        <v>#DIV/0!</v>
      </c>
      <c r="K21" s="1270"/>
      <c r="L21" s="1278" t="s">
        <v>3321</v>
      </c>
      <c r="M21" s="1290"/>
      <c r="N21" s="1286"/>
      <c r="O21" s="1293" t="e">
        <f>AVERAGE(O20,O22)</f>
        <v>#DIV/0!</v>
      </c>
      <c r="P21" s="1270"/>
      <c r="Q21" s="1278" t="s">
        <v>3321</v>
      </c>
      <c r="R21" s="1300"/>
      <c r="S21" s="1275"/>
      <c r="T21" s="1292" t="e">
        <f>AVERAGE(T20,T22)</f>
        <v>#DIV/0!</v>
      </c>
      <c r="U21" s="1270"/>
    </row>
    <row r="22" spans="1:21">
      <c r="A22" s="1270"/>
      <c r="B22" s="1272" t="s">
        <v>3322</v>
      </c>
      <c r="C22" s="1289">
        <f>MIN(C5:C6)</f>
        <v>0</v>
      </c>
      <c r="D22" s="1275" t="e">
        <f>MIN(D5:D6)</f>
        <v>#DIV/0!</v>
      </c>
      <c r="E22" s="1275" t="e">
        <f t="shared" si="12"/>
        <v>#DIV/0!</v>
      </c>
      <c r="F22" s="1270"/>
      <c r="G22" s="1272" t="s">
        <v>3322</v>
      </c>
      <c r="H22" s="1289">
        <f>MIN(H5:H6)</f>
        <v>0</v>
      </c>
      <c r="I22" s="1275" t="e">
        <f>MIN(I5:I6)</f>
        <v>#DIV/0!</v>
      </c>
      <c r="J22" s="1275" t="e">
        <f t="shared" ref="J22" si="16">+H22*I22</f>
        <v>#DIV/0!</v>
      </c>
      <c r="K22" s="1270"/>
      <c r="L22" s="1272" t="s">
        <v>3322</v>
      </c>
      <c r="M22" s="1290">
        <f>MIN(M5:M6)</f>
        <v>0</v>
      </c>
      <c r="N22" s="1286" t="e">
        <f>MIN(N5:N6)</f>
        <v>#DIV/0!</v>
      </c>
      <c r="O22" s="1284" t="e">
        <f t="shared" ref="O22" si="17">+M22*N22</f>
        <v>#DIV/0!</v>
      </c>
      <c r="P22" s="1270"/>
      <c r="Q22" s="1272" t="s">
        <v>3322</v>
      </c>
      <c r="R22" s="1300">
        <f>MIN(R5:R6)</f>
        <v>0</v>
      </c>
      <c r="S22" s="1275" t="e">
        <f>MIN(S5:S6)</f>
        <v>#DIV/0!</v>
      </c>
      <c r="T22" s="1275" t="e">
        <f t="shared" ref="T22" si="18">+R22*S22</f>
        <v>#DIV/0!</v>
      </c>
      <c r="U22" s="1270"/>
    </row>
    <row r="23" spans="1:21" ht="15.75" thickBot="1">
      <c r="A23" s="1270"/>
      <c r="B23" s="1278" t="s">
        <v>3323</v>
      </c>
      <c r="C23" s="1279">
        <f>+C20-C22</f>
        <v>720.92230058032385</v>
      </c>
      <c r="D23" s="1280" t="e">
        <f t="shared" ref="D23:E23" si="19">+D20-D22</f>
        <v>#DIV/0!</v>
      </c>
      <c r="E23" s="1280" t="e">
        <f t="shared" si="19"/>
        <v>#DIV/0!</v>
      </c>
      <c r="F23" s="1270"/>
      <c r="G23" s="1278" t="s">
        <v>3323</v>
      </c>
      <c r="H23" s="1279">
        <f>+H20-H22</f>
        <v>755.2492650386007</v>
      </c>
      <c r="I23" s="1280" t="e">
        <f t="shared" ref="I23:J23" si="20">+I20-I22</f>
        <v>#DIV/0!</v>
      </c>
      <c r="J23" s="1280" t="e">
        <f t="shared" si="20"/>
        <v>#DIV/0!</v>
      </c>
      <c r="K23" s="1270"/>
      <c r="L23" s="1278" t="s">
        <v>3323</v>
      </c>
      <c r="M23" s="1281">
        <f>+M20-M22</f>
        <v>2604608.8559066965</v>
      </c>
      <c r="N23" s="1282" t="e">
        <f t="shared" ref="N23:O23" si="21">+N20-N22</f>
        <v>#DIV/0!</v>
      </c>
      <c r="O23" s="1294" t="e">
        <f t="shared" si="21"/>
        <v>#DIV/0!</v>
      </c>
      <c r="P23" s="1270"/>
      <c r="Q23" s="1278" t="s">
        <v>3323</v>
      </c>
      <c r="R23" s="1299">
        <f>+R20-R22</f>
        <v>10487.196335209126</v>
      </c>
      <c r="S23" s="1280" t="e">
        <f t="shared" ref="S23:T23" si="22">+S20-S22</f>
        <v>#DIV/0!</v>
      </c>
      <c r="T23" s="1280" t="e">
        <f t="shared" si="22"/>
        <v>#DIV/0!</v>
      </c>
      <c r="U23" s="1270"/>
    </row>
    <row r="24" spans="1:21" ht="15.75" thickTop="1">
      <c r="A24" s="1270"/>
      <c r="B24" s="1270"/>
      <c r="C24" s="1270"/>
      <c r="D24" s="1270"/>
      <c r="E24" s="1270"/>
      <c r="F24" s="1270"/>
      <c r="G24" s="1270"/>
      <c r="H24" s="1270"/>
      <c r="I24" s="1270"/>
      <c r="J24" s="1270"/>
      <c r="K24" s="1270"/>
      <c r="L24" s="1270"/>
      <c r="M24" s="1270"/>
      <c r="N24" s="1270"/>
      <c r="O24" s="1270"/>
      <c r="P24" s="1270"/>
      <c r="Q24" s="1270"/>
      <c r="R24" s="1270"/>
      <c r="S24" s="1270"/>
      <c r="T24" s="1270"/>
      <c r="U24" s="1270"/>
    </row>
    <row r="25" spans="1:21">
      <c r="A25" s="1270"/>
      <c r="B25" s="1270"/>
      <c r="C25" s="1295" t="s">
        <v>3324</v>
      </c>
      <c r="D25" s="1270"/>
      <c r="E25" s="1296" t="e">
        <f>+E5/E20</f>
        <v>#DIV/0!</v>
      </c>
      <c r="F25" s="1270"/>
      <c r="G25" s="1270"/>
      <c r="H25" s="1295" t="s">
        <v>3324</v>
      </c>
      <c r="I25" s="1270"/>
      <c r="J25" s="1296" t="e">
        <f>+J5/J20</f>
        <v>#DIV/0!</v>
      </c>
      <c r="K25" s="1270"/>
      <c r="L25" s="1270"/>
      <c r="M25" s="1295" t="s">
        <v>3324</v>
      </c>
      <c r="N25" s="1270"/>
      <c r="O25" s="1296" t="e">
        <f>+O5/O20</f>
        <v>#DIV/0!</v>
      </c>
      <c r="P25" s="1270"/>
      <c r="Q25" s="1296"/>
      <c r="R25" s="1295" t="s">
        <v>3324</v>
      </c>
      <c r="S25" s="1270"/>
      <c r="T25" s="1296" t="e">
        <f>+T5/T20</f>
        <v>#DIV/0!</v>
      </c>
      <c r="U25" s="1270"/>
    </row>
    <row r="26" spans="1:21">
      <c r="A26" s="1270"/>
      <c r="B26" s="1270"/>
      <c r="C26" s="1295" t="s">
        <v>3325</v>
      </c>
      <c r="D26" s="1270"/>
      <c r="E26" s="1286" t="e">
        <f>+E5/E21</f>
        <v>#DIV/0!</v>
      </c>
      <c r="F26" s="1270"/>
      <c r="G26" s="1270"/>
      <c r="H26" s="1295" t="s">
        <v>3325</v>
      </c>
      <c r="I26" s="1270"/>
      <c r="J26" s="1286" t="e">
        <f>+J5/J21</f>
        <v>#DIV/0!</v>
      </c>
      <c r="K26" s="1270"/>
      <c r="L26" s="1270"/>
      <c r="M26" s="1295" t="s">
        <v>3325</v>
      </c>
      <c r="N26" s="1270"/>
      <c r="O26" s="1286" t="e">
        <f>+O5/O21</f>
        <v>#DIV/0!</v>
      </c>
      <c r="P26" s="1270"/>
      <c r="Q26" s="1286"/>
      <c r="R26" s="1295" t="s">
        <v>3325</v>
      </c>
      <c r="S26" s="1270"/>
      <c r="T26" s="1286" t="e">
        <f>+T5/T21</f>
        <v>#DIV/0!</v>
      </c>
      <c r="U26" s="1270"/>
    </row>
    <row r="27" spans="1:21">
      <c r="A27" s="1270"/>
      <c r="B27" s="1270"/>
      <c r="C27" s="1295" t="s">
        <v>3326</v>
      </c>
      <c r="D27" s="1270"/>
      <c r="E27" s="1296" t="e">
        <f>+E5/E22</f>
        <v>#DIV/0!</v>
      </c>
      <c r="F27" s="1270"/>
      <c r="G27" s="1270"/>
      <c r="H27" s="1295" t="s">
        <v>3326</v>
      </c>
      <c r="I27" s="1270"/>
      <c r="J27" s="1296" t="e">
        <f>+J5/J22</f>
        <v>#DIV/0!</v>
      </c>
      <c r="K27" s="1270"/>
      <c r="L27" s="1270"/>
      <c r="M27" s="1295" t="s">
        <v>3326</v>
      </c>
      <c r="N27" s="1270"/>
      <c r="O27" s="1296" t="e">
        <f>+O5/O22</f>
        <v>#DIV/0!</v>
      </c>
      <c r="P27" s="1270"/>
      <c r="Q27" s="1296"/>
      <c r="R27" s="1295" t="s">
        <v>3326</v>
      </c>
      <c r="S27" s="1270"/>
      <c r="T27" s="1296" t="e">
        <f>+T5/T22</f>
        <v>#DIV/0!</v>
      </c>
      <c r="U27" s="1270"/>
    </row>
    <row r="28" spans="1:21">
      <c r="A28" s="1270"/>
      <c r="B28" s="1270"/>
      <c r="C28" s="1270"/>
      <c r="D28" s="1270"/>
      <c r="E28" s="1270"/>
      <c r="F28" s="1270"/>
      <c r="G28" s="1270"/>
      <c r="H28" s="1270"/>
      <c r="I28" s="1270"/>
      <c r="J28" s="1270"/>
      <c r="K28" s="1270"/>
      <c r="L28" s="1270"/>
      <c r="M28" s="1270"/>
      <c r="N28" s="1270"/>
      <c r="O28" s="1270"/>
      <c r="P28" s="1270"/>
      <c r="Q28" s="1270"/>
      <c r="R28" s="1270"/>
      <c r="S28" s="1270"/>
      <c r="T28" s="1270"/>
      <c r="U28" s="1270"/>
    </row>
    <row r="29" spans="1:21">
      <c r="A29" s="1270"/>
      <c r="B29" s="1270"/>
      <c r="C29" s="1295" t="s">
        <v>3327</v>
      </c>
      <c r="D29" s="1270"/>
      <c r="E29" s="1296" t="e">
        <f>+E27-E25</f>
        <v>#DIV/0!</v>
      </c>
      <c r="F29" s="1297"/>
      <c r="G29" s="1297"/>
      <c r="H29" s="1295" t="s">
        <v>3327</v>
      </c>
      <c r="I29" s="1270"/>
      <c r="J29" s="1296" t="e">
        <f>+J27-J25</f>
        <v>#DIV/0!</v>
      </c>
      <c r="K29" s="1270"/>
      <c r="L29" s="1270"/>
      <c r="M29" s="1295" t="s">
        <v>3327</v>
      </c>
      <c r="N29" s="1270"/>
      <c r="O29" s="1296" t="e">
        <f>+O27-O25</f>
        <v>#DIV/0!</v>
      </c>
      <c r="P29" s="1270"/>
      <c r="Q29" s="1297"/>
      <c r="R29" s="1295" t="s">
        <v>3327</v>
      </c>
      <c r="S29" s="1270"/>
      <c r="T29" s="1296" t="e">
        <f>+T27-T25</f>
        <v>#DIV/0!</v>
      </c>
      <c r="U29" s="1270"/>
    </row>
    <row r="30" spans="1:21">
      <c r="A30" s="1270"/>
      <c r="B30" s="1270"/>
      <c r="C30" s="1270"/>
      <c r="D30" s="1270"/>
      <c r="E30" s="1270"/>
      <c r="F30" s="1270"/>
      <c r="G30" s="1270"/>
      <c r="H30" s="1270"/>
      <c r="I30" s="1270"/>
      <c r="J30" s="1270"/>
      <c r="K30" s="1270"/>
      <c r="L30" s="1270"/>
      <c r="M30" s="1270"/>
      <c r="N30" s="1270"/>
      <c r="O30" s="1270"/>
      <c r="P30" s="1270"/>
      <c r="Q30" s="1270"/>
      <c r="R30" s="1270"/>
      <c r="S30" s="1270"/>
      <c r="T30" s="1270"/>
      <c r="U30" s="1270"/>
    </row>
    <row r="31" spans="1:21">
      <c r="A31" s="1270"/>
      <c r="B31" s="1392" t="s">
        <v>3433</v>
      </c>
      <c r="C31" s="1393"/>
      <c r="D31" s="1394"/>
      <c r="E31" s="1270"/>
      <c r="F31" s="1270"/>
      <c r="G31" s="1392" t="s">
        <v>3433</v>
      </c>
      <c r="H31" s="1393"/>
      <c r="I31" s="1394"/>
      <c r="J31" s="1270"/>
      <c r="K31" s="1270"/>
      <c r="L31" s="1270"/>
      <c r="M31" s="1270"/>
      <c r="N31" s="1270"/>
      <c r="O31" s="1270"/>
      <c r="P31" s="1270"/>
      <c r="Q31" s="1270"/>
      <c r="R31" s="1270"/>
      <c r="S31" s="1270"/>
      <c r="T31" s="1270"/>
      <c r="U31" s="1270"/>
    </row>
    <row r="32" spans="1:21">
      <c r="A32" s="1270"/>
      <c r="B32" s="1386" t="s">
        <v>3432</v>
      </c>
      <c r="C32" s="1388">
        <f>+C17</f>
        <v>-720.92230058032385</v>
      </c>
      <c r="D32" s="1275">
        <f>+E32/C32</f>
        <v>1046.159915362196</v>
      </c>
      <c r="E32" s="1275">
        <f>+Print_AAD!N78</f>
        <v>-754200.01295783115</v>
      </c>
      <c r="F32" s="1270"/>
      <c r="G32" s="1385"/>
      <c r="H32" s="1283"/>
      <c r="I32" s="1275"/>
      <c r="J32" s="1275"/>
      <c r="K32" s="1270"/>
      <c r="L32" s="1270"/>
      <c r="M32" s="1270"/>
      <c r="N32" s="1270"/>
      <c r="O32" s="1270"/>
      <c r="P32" s="1270"/>
      <c r="Q32" s="1270"/>
      <c r="R32" s="1270"/>
      <c r="S32" s="1270"/>
      <c r="T32" s="1270"/>
      <c r="U32" s="1270"/>
    </row>
    <row r="33" spans="1:21">
      <c r="A33" s="1270"/>
      <c r="B33" s="1387" t="s">
        <v>3434</v>
      </c>
      <c r="C33" s="1388">
        <f>+C17</f>
        <v>-720.92230058032385</v>
      </c>
      <c r="D33" s="1275">
        <f>+E33/C33</f>
        <v>359.1</v>
      </c>
      <c r="E33" s="1275">
        <f>+Print_AAD!N82</f>
        <v>-258883.19813839431</v>
      </c>
      <c r="F33" s="1270"/>
      <c r="G33" s="1387" t="s">
        <v>3434</v>
      </c>
      <c r="H33" s="1388">
        <f>+H17</f>
        <v>-755.2492650386007</v>
      </c>
      <c r="I33" s="1275">
        <f>+J33/H33</f>
        <v>192.01227698056661</v>
      </c>
      <c r="J33" s="1275">
        <f>+Print_AAD!N158</f>
        <v>-145017.13106796116</v>
      </c>
      <c r="K33" s="1270"/>
      <c r="L33" s="1270"/>
      <c r="M33" s="1270"/>
      <c r="N33" s="1270"/>
      <c r="O33" s="1270"/>
      <c r="P33" s="1270"/>
      <c r="Q33" s="1270"/>
      <c r="R33" s="1270"/>
      <c r="S33" s="1270"/>
      <c r="T33" s="1270"/>
      <c r="U33" s="1270"/>
    </row>
    <row r="34" spans="1:21" ht="15.75" thickBot="1">
      <c r="B34" s="1270"/>
      <c r="C34" s="1270"/>
      <c r="D34" s="1270"/>
      <c r="E34" s="1280">
        <f>SUM(E32:E33)</f>
        <v>-1013083.2110962254</v>
      </c>
      <c r="F34" s="1270"/>
      <c r="G34" s="1270"/>
      <c r="H34" s="1270"/>
      <c r="I34" s="1270"/>
      <c r="J34" s="1280">
        <f>SUM(J32:J33)</f>
        <v>-145017.13106796116</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1" bestFit="1" customWidth="1"/>
    <col min="2" max="4" width="11" style="1341"/>
    <col min="5" max="5" width="2" style="1341" customWidth="1"/>
    <col min="6" max="8" width="11" style="1341"/>
    <col min="9" max="9" width="2" style="1341" customWidth="1"/>
    <col min="10" max="10" width="9.625" style="1341" customWidth="1"/>
    <col min="11" max="11" width="2" style="1341" customWidth="1"/>
    <col min="12" max="12" width="9.625" style="1341" customWidth="1"/>
    <col min="13" max="13" width="2" style="1341" customWidth="1"/>
    <col min="14" max="14" width="9.625" style="1341" customWidth="1"/>
    <col min="15" max="16384" width="11" style="1341"/>
  </cols>
  <sheetData>
    <row r="2" spans="1:14">
      <c r="A2" s="1336" t="s">
        <v>175</v>
      </c>
      <c r="B2" s="1338" t="s">
        <v>3411</v>
      </c>
      <c r="C2" s="1339"/>
      <c r="D2" s="1340"/>
      <c r="F2" s="1338" t="s">
        <v>3412</v>
      </c>
      <c r="G2" s="1339"/>
      <c r="H2" s="1340"/>
      <c r="J2" s="1342" t="s">
        <v>3311</v>
      </c>
      <c r="L2" s="1342" t="s">
        <v>3413</v>
      </c>
      <c r="N2" s="1342" t="s">
        <v>3414</v>
      </c>
    </row>
    <row r="3" spans="1:14">
      <c r="B3" s="1343" t="s">
        <v>157</v>
      </c>
      <c r="C3" s="1343" t="s">
        <v>176</v>
      </c>
      <c r="D3" s="1343" t="s">
        <v>85</v>
      </c>
      <c r="F3" s="1343" t="s">
        <v>157</v>
      </c>
      <c r="G3" s="1343" t="s">
        <v>176</v>
      </c>
      <c r="H3" s="1343" t="s">
        <v>85</v>
      </c>
      <c r="J3" s="1344"/>
      <c r="L3" s="1344"/>
      <c r="N3" s="1344"/>
    </row>
    <row r="4" spans="1:14">
      <c r="A4" s="1341" t="s">
        <v>177</v>
      </c>
      <c r="B4" s="1345">
        <f>+Print_AAD!J294</f>
        <v>0</v>
      </c>
      <c r="C4" s="1337" t="e">
        <f>D4/B4</f>
        <v>#DIV/0!</v>
      </c>
      <c r="D4" s="1345">
        <f>+Print_AAD!L294</f>
        <v>0</v>
      </c>
      <c r="F4" s="1345">
        <f>+Print_AAD!G294</f>
        <v>755274.73954356427</v>
      </c>
      <c r="G4" s="1337">
        <f>H4/F4</f>
        <v>0.35811007851031484</v>
      </c>
      <c r="H4" s="1345">
        <f>+Print_AAD!I294</f>
        <v>270471.49627480342</v>
      </c>
      <c r="I4" s="1346"/>
      <c r="J4" s="1347">
        <f t="shared" ref="J4:J11" si="0">+D4-H4</f>
        <v>-270471.49627480342</v>
      </c>
      <c r="L4" s="1347">
        <f t="shared" ref="L4:L9" si="1">(B4-F4)*G4</f>
        <v>-270471.49627480342</v>
      </c>
      <c r="N4" s="1347" t="e">
        <f t="shared" ref="N4:N9" si="2">B4*(C4-G4)</f>
        <v>#DIV/0!</v>
      </c>
    </row>
    <row r="5" spans="1:14">
      <c r="A5" s="1341" t="s">
        <v>178</v>
      </c>
      <c r="B5" s="1345">
        <f>+Print_AAD!J295</f>
        <v>0</v>
      </c>
      <c r="C5" s="1337" t="e">
        <f t="shared" ref="C5:C9" si="3">D5/B5</f>
        <v>#DIV/0!</v>
      </c>
      <c r="D5" s="1345">
        <f>+Print_AAD!L295</f>
        <v>0</v>
      </c>
      <c r="F5" s="1345">
        <f>+Print_AAD!G295</f>
        <v>451041.74131734378</v>
      </c>
      <c r="G5" s="1337">
        <f t="shared" ref="G5:G9" si="4">H5/F5</f>
        <v>0.25717233040360804</v>
      </c>
      <c r="H5" s="1345">
        <f>+Print_AAD!I295</f>
        <v>115995.45572388265</v>
      </c>
      <c r="I5" s="1346"/>
      <c r="J5" s="1347">
        <f t="shared" si="0"/>
        <v>-115995.45572388265</v>
      </c>
      <c r="L5" s="1347">
        <f t="shared" si="1"/>
        <v>-115995.45572388264</v>
      </c>
      <c r="N5" s="1347" t="e">
        <f t="shared" si="2"/>
        <v>#DIV/0!</v>
      </c>
    </row>
    <row r="6" spans="1:14">
      <c r="A6" s="1341" t="s">
        <v>179</v>
      </c>
      <c r="B6" s="1345">
        <f>+Print_AAD!J296</f>
        <v>0</v>
      </c>
      <c r="C6" s="1337" t="e">
        <f t="shared" si="3"/>
        <v>#DIV/0!</v>
      </c>
      <c r="D6" s="1345">
        <f>+Print_AAD!L296</f>
        <v>0</v>
      </c>
      <c r="F6" s="1345">
        <f>+Print_AAD!G296</f>
        <v>832658.9298535944</v>
      </c>
      <c r="G6" s="1337">
        <f t="shared" si="4"/>
        <v>0.24177651145507995</v>
      </c>
      <c r="H6" s="1345">
        <f>+Print_AAD!I296</f>
        <v>201317.37129192217</v>
      </c>
      <c r="I6" s="1346"/>
      <c r="J6" s="1347">
        <f t="shared" si="0"/>
        <v>-201317.37129192217</v>
      </c>
      <c r="L6" s="1347">
        <f t="shared" si="1"/>
        <v>-201317.37129192217</v>
      </c>
      <c r="N6" s="1347" t="e">
        <f t="shared" si="2"/>
        <v>#DIV/0!</v>
      </c>
    </row>
    <row r="7" spans="1:14">
      <c r="A7" s="1341" t="s">
        <v>180</v>
      </c>
      <c r="B7" s="1345">
        <f>+Print_AAD!J297</f>
        <v>0</v>
      </c>
      <c r="C7" s="1337" t="e">
        <f t="shared" si="3"/>
        <v>#DIV/0!</v>
      </c>
      <c r="D7" s="1345">
        <f>+Print_AAD!L297</f>
        <v>0</v>
      </c>
      <c r="F7" s="1345">
        <f>+Print_AAD!G297</f>
        <v>561476.50142103119</v>
      </c>
      <c r="G7" s="1337">
        <f t="shared" si="4"/>
        <v>0.32393223852119102</v>
      </c>
      <c r="H7" s="1345">
        <f>+Print_AAD!I297</f>
        <v>181880.33998236133</v>
      </c>
      <c r="I7" s="1346"/>
      <c r="J7" s="1347">
        <f t="shared" si="0"/>
        <v>-181880.33998236133</v>
      </c>
      <c r="L7" s="1347">
        <f t="shared" si="1"/>
        <v>-181880.33998236133</v>
      </c>
      <c r="N7" s="1347" t="e">
        <f t="shared" si="2"/>
        <v>#DIV/0!</v>
      </c>
    </row>
    <row r="8" spans="1:14">
      <c r="A8" s="1341" t="s">
        <v>181</v>
      </c>
      <c r="B8" s="1345">
        <f>+Print_AAD!J298</f>
        <v>0</v>
      </c>
      <c r="C8" s="1337" t="e">
        <f t="shared" si="3"/>
        <v>#DIV/0!</v>
      </c>
      <c r="D8" s="1345">
        <f>+Print_AAD!L298</f>
        <v>0</v>
      </c>
      <c r="F8" s="1345">
        <f>+Print_AAD!G298</f>
        <v>168980.56291958087</v>
      </c>
      <c r="G8" s="1337">
        <f t="shared" si="4"/>
        <v>0.2811373070712001</v>
      </c>
      <c r="H8" s="1345">
        <f>+Print_AAD!I298</f>
        <v>47506.740406586461</v>
      </c>
      <c r="I8" s="1346"/>
      <c r="J8" s="1347">
        <f t="shared" si="0"/>
        <v>-47506.740406586461</v>
      </c>
      <c r="L8" s="1347">
        <f t="shared" si="1"/>
        <v>-47506.740406586461</v>
      </c>
      <c r="N8" s="1347" t="e">
        <f t="shared" si="2"/>
        <v>#DIV/0!</v>
      </c>
    </row>
    <row r="9" spans="1:14">
      <c r="A9" s="1341" t="s">
        <v>182</v>
      </c>
      <c r="B9" s="1345">
        <f>+Print_AAD!J299</f>
        <v>0</v>
      </c>
      <c r="C9" s="1337" t="e">
        <f t="shared" si="3"/>
        <v>#DIV/0!</v>
      </c>
      <c r="D9" s="1345">
        <f>+Print_AAD!L299</f>
        <v>0</v>
      </c>
      <c r="F9" s="1345">
        <f>+Print_AAD!G299</f>
        <v>523176.8609078108</v>
      </c>
      <c r="G9" s="1337">
        <f t="shared" si="4"/>
        <v>0.18194830719212418</v>
      </c>
      <c r="H9" s="1345">
        <f>+Print_AAD!I299</f>
        <v>95191.144204265584</v>
      </c>
      <c r="I9" s="1346"/>
      <c r="J9" s="1347">
        <f t="shared" si="0"/>
        <v>-95191.144204265584</v>
      </c>
      <c r="L9" s="1347">
        <f t="shared" si="1"/>
        <v>-95191.144204265584</v>
      </c>
      <c r="N9" s="1347" t="e">
        <f t="shared" si="2"/>
        <v>#DIV/0!</v>
      </c>
    </row>
    <row r="10" spans="1:14">
      <c r="A10" s="1341" t="s">
        <v>183</v>
      </c>
      <c r="B10" s="1345"/>
      <c r="C10" s="1337"/>
      <c r="D10" s="1345">
        <f>+Print_AAD!L301</f>
        <v>0</v>
      </c>
      <c r="F10" s="1345"/>
      <c r="G10" s="1337"/>
      <c r="H10" s="1345">
        <f>+Print_AAD!I301</f>
        <v>54566.152290794016</v>
      </c>
      <c r="I10" s="1346"/>
      <c r="J10" s="1347">
        <f t="shared" si="0"/>
        <v>-54566.152290794016</v>
      </c>
      <c r="L10" s="1347">
        <f>(H10/(H4+H5+H6+H7+H8+H9)*(D4+D5+D6+D7+D8+D9))-D10</f>
        <v>0</v>
      </c>
      <c r="N10" s="1347">
        <f>+J10-L10</f>
        <v>-54566.152290794016</v>
      </c>
    </row>
    <row r="11" spans="1:14">
      <c r="A11" s="1341" t="s">
        <v>184</v>
      </c>
      <c r="B11" s="1345"/>
      <c r="C11" s="1337"/>
      <c r="D11" s="1345"/>
      <c r="F11" s="1345"/>
      <c r="G11" s="1337"/>
      <c r="H11" s="1345"/>
      <c r="I11" s="1346"/>
      <c r="J11" s="1347">
        <f t="shared" si="0"/>
        <v>0</v>
      </c>
      <c r="L11" s="1347">
        <f>(B11-F11)*G11</f>
        <v>0</v>
      </c>
      <c r="N11" s="1347">
        <f t="shared" ref="N11" si="5">+J11-L11</f>
        <v>0</v>
      </c>
    </row>
    <row r="12" spans="1:14">
      <c r="A12" s="1341" t="s">
        <v>185</v>
      </c>
      <c r="B12" s="1348">
        <f>SUM(B4:B11)</f>
        <v>0</v>
      </c>
      <c r="C12" s="1349" t="e">
        <f>+D12/B12</f>
        <v>#DIV/0!</v>
      </c>
      <c r="D12" s="1348">
        <f>SUM(D4:D11)</f>
        <v>0</v>
      </c>
      <c r="F12" s="1348">
        <f>SUM(F4:F11)</f>
        <v>3292609.3359629251</v>
      </c>
      <c r="G12" s="1349">
        <f>+H12/F12</f>
        <v>0.29366639085102297</v>
      </c>
      <c r="H12" s="1348">
        <f>SUM(H4:H11)</f>
        <v>966928.7001746156</v>
      </c>
      <c r="J12" s="1348">
        <f>SUM(J4:J11)</f>
        <v>-966928.7001746156</v>
      </c>
      <c r="L12" s="1348">
        <f>SUM(L4:L11)</f>
        <v>-912362.54788382153</v>
      </c>
      <c r="N12" s="1348" t="e">
        <f>SUM(N4:N11)</f>
        <v>#DIV/0!</v>
      </c>
    </row>
    <row r="13" spans="1:14">
      <c r="B13" s="1347"/>
      <c r="C13" s="1350"/>
      <c r="D13" s="1347"/>
      <c r="F13" s="1347"/>
      <c r="G13" s="1350"/>
      <c r="H13" s="1347"/>
      <c r="J13" s="1347"/>
      <c r="L13" s="1347"/>
      <c r="N13" s="1347"/>
    </row>
    <row r="14" spans="1:14">
      <c r="A14" s="1341" t="s">
        <v>186</v>
      </c>
      <c r="B14" s="1345">
        <f>+Print_AAD!J306</f>
        <v>0</v>
      </c>
      <c r="C14" s="1337" t="e">
        <f t="shared" ref="C14:C15" si="6">D14/B14</f>
        <v>#DIV/0!</v>
      </c>
      <c r="D14" s="1345">
        <f>+Print_AAD!L306</f>
        <v>0</v>
      </c>
      <c r="F14" s="1345">
        <f>+Print_AAD!G306</f>
        <v>366512.08488304901</v>
      </c>
      <c r="G14" s="1337">
        <f t="shared" ref="G14:G15" si="7">H14/F14</f>
        <v>0.18164448381983828</v>
      </c>
      <c r="H14" s="1345">
        <f>+Print_AAD!I306</f>
        <v>66574.898472314191</v>
      </c>
      <c r="I14" s="1346"/>
      <c r="J14" s="1347">
        <f>+D14-H14</f>
        <v>-66574.898472314191</v>
      </c>
      <c r="L14" s="1347">
        <f>(B14-F14)*G14</f>
        <v>-66574.898472314191</v>
      </c>
      <c r="N14" s="1347" t="e">
        <f>B14*(C14-G14)</f>
        <v>#DIV/0!</v>
      </c>
    </row>
    <row r="15" spans="1:14">
      <c r="A15" s="1341" t="s">
        <v>187</v>
      </c>
      <c r="B15" s="1345">
        <f>+Print_AAD!J307</f>
        <v>0</v>
      </c>
      <c r="C15" s="1337" t="e">
        <f t="shared" si="6"/>
        <v>#DIV/0!</v>
      </c>
      <c r="D15" s="1345">
        <f>+Print_AAD!L307</f>
        <v>0</v>
      </c>
      <c r="F15" s="1345">
        <f>+Print_AAD!G307</f>
        <v>183423.76024417163</v>
      </c>
      <c r="G15" s="1337">
        <f t="shared" si="7"/>
        <v>0.29130399895825632</v>
      </c>
      <c r="H15" s="1345">
        <f>+Print_AAD!I307</f>
        <v>53432.074863087633</v>
      </c>
      <c r="I15" s="1346"/>
      <c r="J15" s="1347">
        <f>+D15-H15</f>
        <v>-53432.074863087633</v>
      </c>
      <c r="L15" s="1347">
        <f>(B15-F15)*G15</f>
        <v>-53432.074863087626</v>
      </c>
      <c r="N15" s="1347" t="e">
        <f>B15*(C15-G15)</f>
        <v>#DIV/0!</v>
      </c>
    </row>
    <row r="16" spans="1:14">
      <c r="A16" s="1341" t="s">
        <v>188</v>
      </c>
      <c r="B16" s="1351">
        <f>SUM(B14:B15)</f>
        <v>0</v>
      </c>
      <c r="C16" s="1352" t="e">
        <f>+D16/B16</f>
        <v>#DIV/0!</v>
      </c>
      <c r="D16" s="1351">
        <f>SUM(D14:D15)</f>
        <v>0</v>
      </c>
      <c r="F16" s="1351">
        <f>SUM(F14:F15)</f>
        <v>549935.84512722061</v>
      </c>
      <c r="G16" s="1352">
        <f>+H16/F16</f>
        <v>0.21821995128839028</v>
      </c>
      <c r="H16" s="1351">
        <f>SUM(H14:H15)</f>
        <v>120006.97333540182</v>
      </c>
      <c r="J16" s="1351">
        <f>SUM(J14:J15)</f>
        <v>-120006.97333540182</v>
      </c>
      <c r="L16" s="1351">
        <f>SUM(L14:L15)</f>
        <v>-120006.97333540182</v>
      </c>
      <c r="N16" s="1351" t="e">
        <f>SUM(N14:N15)</f>
        <v>#DIV/0!</v>
      </c>
    </row>
    <row r="17" spans="1:14">
      <c r="B17" s="1347"/>
      <c r="C17" s="1350"/>
      <c r="D17" s="1347"/>
      <c r="F17" s="1347"/>
      <c r="G17" s="1350"/>
      <c r="H17" s="1347"/>
      <c r="J17" s="1347"/>
      <c r="L17" s="1347"/>
      <c r="N17" s="1347"/>
    </row>
    <row r="18" spans="1:14" ht="15.75" thickBot="1">
      <c r="A18" s="1341" t="s">
        <v>3415</v>
      </c>
      <c r="B18" s="1353">
        <f>+B12+B16</f>
        <v>0</v>
      </c>
      <c r="C18" s="1354" t="e">
        <f>+D18/B18</f>
        <v>#DIV/0!</v>
      </c>
      <c r="D18" s="1353">
        <f>+D12+D16</f>
        <v>0</v>
      </c>
      <c r="F18" s="1353">
        <f>+F12+F16</f>
        <v>3842545.1810901458</v>
      </c>
      <c r="G18" s="1354">
        <f>+H18/F18</f>
        <v>0.28286867747424876</v>
      </c>
      <c r="H18" s="1353">
        <f>+H12+H16</f>
        <v>1086935.6735100173</v>
      </c>
      <c r="J18" s="1353">
        <f>+J12+J16</f>
        <v>-1086935.6735100173</v>
      </c>
      <c r="L18" s="1353">
        <f>+L12+L16</f>
        <v>-1032369.5212192234</v>
      </c>
      <c r="N18" s="1353" t="e">
        <f>+N12+N16</f>
        <v>#DIV/0!</v>
      </c>
    </row>
    <row r="19" spans="1:14" ht="15.75" thickTop="1"/>
    <row r="20" spans="1:14" ht="15.75" thickBot="1">
      <c r="D20" s="1355"/>
      <c r="E20" s="1356" t="s">
        <v>3416</v>
      </c>
      <c r="F20" s="1353">
        <f>+B18-F18</f>
        <v>-3842545.1810901458</v>
      </c>
      <c r="N20" s="1355" t="e">
        <f>+J18-L18-N18</f>
        <v>#DIV/0!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AA487"/>
  <sheetViews>
    <sheetView zoomScale="80" zoomScaleNormal="80" workbookViewId="0">
      <pane ySplit="1" topLeftCell="A2" activePane="bottomLeft" state="frozen"/>
      <selection pane="bottomLeft" activeCell="A2" sqref="A2:A5"/>
    </sheetView>
  </sheetViews>
  <sheetFormatPr baseColWidth="10" defaultColWidth="12.625" defaultRowHeight="15" customHeight="1"/>
  <cols>
    <col min="1" max="1" width="12.625" style="564"/>
    <col min="2" max="2" width="37" style="509" customWidth="1"/>
    <col min="3" max="3" width="31.25" style="509" customWidth="1"/>
    <col min="4" max="4" width="14.625" style="509" customWidth="1"/>
    <col min="5" max="9" width="12.875" style="509" customWidth="1"/>
    <col min="10" max="12" width="12.875" style="1380" customWidth="1"/>
    <col min="13" max="13" width="12.875" customWidth="1"/>
    <col min="14" max="14" width="39.75" customWidth="1"/>
    <col min="15" max="15" width="14.875" customWidth="1"/>
    <col min="16" max="16" width="12.875" style="1087"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74" t="s">
        <v>3269</v>
      </c>
      <c r="B1" s="1189" t="s">
        <v>265</v>
      </c>
      <c r="C1" s="1189" t="s">
        <v>266</v>
      </c>
      <c r="D1" s="1190" t="s">
        <v>3263</v>
      </c>
      <c r="E1" s="1190" t="s">
        <v>3264</v>
      </c>
      <c r="F1" s="1190" t="s">
        <v>3265</v>
      </c>
      <c r="G1" s="1189" t="s">
        <v>270</v>
      </c>
      <c r="H1" s="1189" t="s">
        <v>271</v>
      </c>
      <c r="I1" s="1189" t="s">
        <v>272</v>
      </c>
      <c r="J1" s="1375" t="s">
        <v>3266</v>
      </c>
      <c r="K1" s="1375" t="s">
        <v>3267</v>
      </c>
      <c r="L1" s="1375" t="s">
        <v>3268</v>
      </c>
      <c r="M1" s="148" t="s">
        <v>266</v>
      </c>
      <c r="N1" s="148" t="s">
        <v>265</v>
      </c>
      <c r="O1" s="148" t="s">
        <v>267</v>
      </c>
      <c r="P1" s="1084" t="s">
        <v>268</v>
      </c>
      <c r="Q1" s="148" t="s">
        <v>269</v>
      </c>
      <c r="R1" s="148" t="s">
        <v>270</v>
      </c>
      <c r="S1" s="148" t="s">
        <v>271</v>
      </c>
      <c r="T1" s="148" t="s">
        <v>272</v>
      </c>
      <c r="U1" s="149" t="s">
        <v>273</v>
      </c>
      <c r="V1" s="149" t="s">
        <v>274</v>
      </c>
      <c r="W1" s="149" t="s">
        <v>275</v>
      </c>
      <c r="X1" s="149" t="s">
        <v>276</v>
      </c>
      <c r="Y1" s="149" t="s">
        <v>1914</v>
      </c>
      <c r="AA1" s="1374" t="s">
        <v>3269</v>
      </c>
    </row>
    <row r="2" spans="1:27" ht="15" customHeight="1">
      <c r="A2" s="1372"/>
      <c r="B2" s="1398"/>
      <c r="C2" s="1401"/>
      <c r="D2" s="1399"/>
      <c r="E2" s="1399"/>
      <c r="F2" s="1399"/>
      <c r="G2" s="1398"/>
      <c r="H2" s="1398"/>
      <c r="I2" s="1399"/>
      <c r="J2" s="1400"/>
      <c r="K2" s="1400"/>
      <c r="L2" s="1400"/>
      <c r="M2" s="150">
        <f t="shared" ref="M2:M65" si="0">+C2</f>
        <v>0</v>
      </c>
      <c r="N2" s="151">
        <f t="shared" ref="N2:N65" si="1">+B2</f>
        <v>0</v>
      </c>
      <c r="O2" s="152">
        <f>+IF(OR($R2=Parametres!$G$2,$R2=Parametres!$G$3),J2,D2)</f>
        <v>0</v>
      </c>
      <c r="P2" s="1085">
        <f>+IF(OR($R2=Parametres!$G$2,$R2=Parametres!$G$3),K2,E2)</f>
        <v>0</v>
      </c>
      <c r="Q2" s="152">
        <f>+IF(OR($R2=Parametres!$G$2,$R2=Parametres!$G$3),L2,F2)</f>
        <v>0</v>
      </c>
      <c r="R2" s="151">
        <f t="shared" ref="R2:R65" si="2">+G2</f>
        <v>0</v>
      </c>
      <c r="S2" s="150">
        <f t="shared" ref="S2:S65" si="3">+H2</f>
        <v>0</v>
      </c>
      <c r="T2" s="151">
        <f t="shared" ref="T2:T65" si="4">+I2</f>
        <v>0</v>
      </c>
      <c r="U2" s="153" t="e">
        <f>+VLOOKUP($M2,Data_Validation!$A:$D,1,0)</f>
        <v>#N/A</v>
      </c>
      <c r="V2" s="153" t="e">
        <f>+VLOOKUP($M2,Data_Validation!$A:$D,3,0)</f>
        <v>#N/A</v>
      </c>
      <c r="W2" s="153" t="e">
        <f>+VLOOKUP($M2,Data_Validation!$A:$D,4,0)</f>
        <v>#N/A</v>
      </c>
      <c r="X2" s="153" t="e">
        <f>+VLOOKUP($M2,Data_Validation!$A:$E,5,0)</f>
        <v>#N/A</v>
      </c>
      <c r="Y2" s="153" t="e">
        <f>+VLOOKUP($M2,Data_Validation!$A:$F,6,0)</f>
        <v>#N/A</v>
      </c>
      <c r="AA2" s="1372">
        <v>44721</v>
      </c>
    </row>
    <row r="3" spans="1:27" ht="15" customHeight="1">
      <c r="A3" s="1373"/>
      <c r="B3" s="1398"/>
      <c r="C3" s="1401"/>
      <c r="D3" s="1399"/>
      <c r="E3" s="1399"/>
      <c r="F3" s="1399"/>
      <c r="G3" s="1398"/>
      <c r="H3" s="1398"/>
      <c r="I3" s="1399"/>
      <c r="J3" s="1400"/>
      <c r="K3" s="1400"/>
      <c r="L3" s="1400"/>
      <c r="M3" s="150">
        <f t="shared" si="0"/>
        <v>0</v>
      </c>
      <c r="N3" s="151">
        <f t="shared" si="1"/>
        <v>0</v>
      </c>
      <c r="O3" s="152">
        <f>+IF(OR($R3=Parametres!$G$2,$R3=Parametres!$G$3),J3,D3)</f>
        <v>0</v>
      </c>
      <c r="P3" s="1085">
        <f>+IF(OR($R3=Parametres!$G$2,$R3=Parametres!$G$3),K3,E3)</f>
        <v>0</v>
      </c>
      <c r="Q3" s="152">
        <f>+IF(OR($R3=Parametres!$G$2,$R3=Parametres!$G$3),L3,F3)</f>
        <v>0</v>
      </c>
      <c r="R3" s="151">
        <f t="shared" si="2"/>
        <v>0</v>
      </c>
      <c r="S3" s="150">
        <f t="shared" si="3"/>
        <v>0</v>
      </c>
      <c r="T3" s="151">
        <f t="shared" si="4"/>
        <v>0</v>
      </c>
      <c r="U3" s="153" t="e">
        <f>+VLOOKUP($M3,Data_Validation!$A:$D,1,0)</f>
        <v>#N/A</v>
      </c>
      <c r="V3" s="153" t="e">
        <f>+VLOOKUP($M3,Data_Validation!$A:$D,3,0)</f>
        <v>#N/A</v>
      </c>
      <c r="W3" s="153" t="e">
        <f>+VLOOKUP($M3,Data_Validation!$A:$D,4,0)</f>
        <v>#N/A</v>
      </c>
      <c r="X3" s="153" t="e">
        <f>+VLOOKUP($M3,Data_Validation!$A:$E,5,0)</f>
        <v>#N/A</v>
      </c>
      <c r="Y3" s="153" t="e">
        <f>+VLOOKUP($M3,Data_Validation!$A:$F,6,0)</f>
        <v>#N/A</v>
      </c>
      <c r="AA3" s="1373">
        <v>0.4375</v>
      </c>
    </row>
    <row r="4" spans="1:27" ht="15" customHeight="1">
      <c r="A4" s="1374"/>
      <c r="B4" s="1398"/>
      <c r="C4" s="1401"/>
      <c r="D4" s="1399"/>
      <c r="E4" s="1399"/>
      <c r="F4" s="1399"/>
      <c r="G4" s="1398"/>
      <c r="H4" s="1398"/>
      <c r="I4" s="1399"/>
      <c r="J4" s="1400"/>
      <c r="K4" s="1400"/>
      <c r="L4" s="1400"/>
      <c r="M4" s="150">
        <f t="shared" si="0"/>
        <v>0</v>
      </c>
      <c r="N4" s="151">
        <f t="shared" si="1"/>
        <v>0</v>
      </c>
      <c r="O4" s="152">
        <f>+IF(OR($R4=Parametres!$G$2,$R4=Parametres!$G$3),J4,D4)</f>
        <v>0</v>
      </c>
      <c r="P4" s="1085">
        <f>+IF(OR($R4=Parametres!$G$2,$R4=Parametres!$G$3),K4,E4)</f>
        <v>0</v>
      </c>
      <c r="Q4" s="152">
        <f>+IF(OR($R4=Parametres!$G$2,$R4=Parametres!$G$3),L4,F4)</f>
        <v>0</v>
      </c>
      <c r="R4" s="151">
        <f t="shared" si="2"/>
        <v>0</v>
      </c>
      <c r="S4" s="150">
        <f t="shared" si="3"/>
        <v>0</v>
      </c>
      <c r="T4" s="151">
        <f t="shared" si="4"/>
        <v>0</v>
      </c>
      <c r="U4" s="153" t="e">
        <f>+VLOOKUP($M4,Data_Validation!$A:$D,1,0)</f>
        <v>#N/A</v>
      </c>
      <c r="V4" s="153" t="e">
        <f>+VLOOKUP($M4,Data_Validation!$A:$D,3,0)</f>
        <v>#N/A</v>
      </c>
      <c r="W4" s="153" t="e">
        <f>+VLOOKUP($M4,Data_Validation!$A:$D,4,0)</f>
        <v>#N/A</v>
      </c>
      <c r="X4" s="153" t="e">
        <f>+VLOOKUP($M4,Data_Validation!$A:$E,5,0)</f>
        <v>#N/A</v>
      </c>
      <c r="Y4" s="153" t="e">
        <f>+VLOOKUP($M4,Data_Validation!$A:$F,6,0)</f>
        <v>#N/A</v>
      </c>
      <c r="AA4" s="1374" t="s">
        <v>3435</v>
      </c>
    </row>
    <row r="5" spans="1:27" ht="15.75" customHeight="1">
      <c r="A5" s="1374"/>
      <c r="B5" s="1398"/>
      <c r="C5" s="1401"/>
      <c r="D5" s="1399"/>
      <c r="E5" s="1399"/>
      <c r="F5" s="1399"/>
      <c r="G5" s="1398"/>
      <c r="H5" s="1398"/>
      <c r="I5" s="1399"/>
      <c r="J5" s="1400"/>
      <c r="K5" s="1400"/>
      <c r="L5" s="1400"/>
      <c r="M5" s="150">
        <f t="shared" si="0"/>
        <v>0</v>
      </c>
      <c r="N5" s="151">
        <f t="shared" si="1"/>
        <v>0</v>
      </c>
      <c r="O5" s="152">
        <f>+IF(OR($R5=Parametres!$G$2,$R5=Parametres!$G$3),J5,D5)</f>
        <v>0</v>
      </c>
      <c r="P5" s="1085">
        <f>+IF(OR($R5=Parametres!$G$2,$R5=Parametres!$G$3),K5,E5)</f>
        <v>0</v>
      </c>
      <c r="Q5" s="152">
        <f>+IF(OR($R5=Parametres!$G$2,$R5=Parametres!$G$3),L5,F5)</f>
        <v>0</v>
      </c>
      <c r="R5" s="151">
        <f t="shared" si="2"/>
        <v>0</v>
      </c>
      <c r="S5" s="150">
        <f t="shared" si="3"/>
        <v>0</v>
      </c>
      <c r="T5" s="151">
        <f t="shared" si="4"/>
        <v>0</v>
      </c>
      <c r="U5" s="153" t="e">
        <f>+VLOOKUP($M5,Data_Validation!$A:$D,1,0)</f>
        <v>#N/A</v>
      </c>
      <c r="V5" s="153" t="e">
        <f>+VLOOKUP($M5,Data_Validation!$A:$D,3,0)</f>
        <v>#N/A</v>
      </c>
      <c r="W5" s="153" t="e">
        <f>+VLOOKUP($M5,Data_Validation!$A:$D,4,0)</f>
        <v>#N/A</v>
      </c>
      <c r="X5" s="153" t="e">
        <f>+VLOOKUP($M5,Data_Validation!$A:$E,5,0)</f>
        <v>#N/A</v>
      </c>
      <c r="Y5" s="153" t="e">
        <f>+VLOOKUP($M5,Data_Validation!$A:$F,6,0)</f>
        <v>#N/A</v>
      </c>
      <c r="AA5" s="155">
        <v>220554</v>
      </c>
    </row>
    <row r="6" spans="1:27" ht="15.75" customHeight="1">
      <c r="A6" s="1384"/>
      <c r="B6" s="1398"/>
      <c r="C6" s="1401"/>
      <c r="D6" s="1399"/>
      <c r="E6" s="1399"/>
      <c r="F6" s="1399"/>
      <c r="G6" s="1398"/>
      <c r="H6" s="1398"/>
      <c r="I6" s="1399"/>
      <c r="J6" s="1400"/>
      <c r="K6" s="1400"/>
      <c r="L6" s="1400"/>
      <c r="M6" s="150">
        <f t="shared" si="0"/>
        <v>0</v>
      </c>
      <c r="N6" s="151">
        <f t="shared" si="1"/>
        <v>0</v>
      </c>
      <c r="O6" s="152">
        <f>+IF(OR($R6=Parametres!$G$2,$R6=Parametres!$G$3),J6,D6)</f>
        <v>0</v>
      </c>
      <c r="P6" s="1085">
        <f>+IF(OR($R6=Parametres!$G$2,$R6=Parametres!$G$3),K6,E6)</f>
        <v>0</v>
      </c>
      <c r="Q6" s="152">
        <f>+IF(OR($R6=Parametres!$G$2,$R6=Parametres!$G$3),L6,F6)</f>
        <v>0</v>
      </c>
      <c r="R6" s="151">
        <f t="shared" si="2"/>
        <v>0</v>
      </c>
      <c r="S6" s="150">
        <f t="shared" si="3"/>
        <v>0</v>
      </c>
      <c r="T6" s="151">
        <f t="shared" si="4"/>
        <v>0</v>
      </c>
      <c r="U6" s="153" t="e">
        <f>+VLOOKUP($M6,Data_Validation!$A:$D,1,0)</f>
        <v>#N/A</v>
      </c>
      <c r="V6" s="153" t="e">
        <f>+VLOOKUP($M6,Data_Validation!$A:$D,3,0)</f>
        <v>#N/A</v>
      </c>
      <c r="W6" s="153" t="e">
        <f>+VLOOKUP($M6,Data_Validation!$A:$D,4,0)</f>
        <v>#N/A</v>
      </c>
      <c r="X6" s="153" t="e">
        <f>+VLOOKUP($M6,Data_Validation!$A:$E,5,0)</f>
        <v>#N/A</v>
      </c>
      <c r="Y6" s="153" t="e">
        <f>+VLOOKUP($M6,Data_Validation!$A:$F,6,0)</f>
        <v>#N/A</v>
      </c>
      <c r="AA6" s="1384" t="s">
        <v>3436</v>
      </c>
    </row>
    <row r="7" spans="1:27" ht="15" customHeight="1">
      <c r="B7" s="1398"/>
      <c r="C7" s="1401"/>
      <c r="D7" s="1399"/>
      <c r="E7" s="1399"/>
      <c r="F7" s="1399"/>
      <c r="G7" s="1398"/>
      <c r="H7" s="1398"/>
      <c r="I7" s="1399"/>
      <c r="J7" s="1400"/>
      <c r="K7" s="1400"/>
      <c r="L7" s="1400"/>
      <c r="M7" s="150">
        <f t="shared" si="0"/>
        <v>0</v>
      </c>
      <c r="N7" s="151">
        <f t="shared" si="1"/>
        <v>0</v>
      </c>
      <c r="O7" s="152">
        <f>+IF(OR($R7=Parametres!$G$2,$R7=Parametres!$G$3),J7,D7)</f>
        <v>0</v>
      </c>
      <c r="P7" s="1085">
        <f>+IF(OR($R7=Parametres!$G$2,$R7=Parametres!$G$3),K7,E7)</f>
        <v>0</v>
      </c>
      <c r="Q7" s="152">
        <f>+IF(OR($R7=Parametres!$G$2,$R7=Parametres!$G$3),L7,F7)</f>
        <v>0</v>
      </c>
      <c r="R7" s="151">
        <f t="shared" si="2"/>
        <v>0</v>
      </c>
      <c r="S7" s="150">
        <f t="shared" si="3"/>
        <v>0</v>
      </c>
      <c r="T7" s="151">
        <f t="shared" si="4"/>
        <v>0</v>
      </c>
      <c r="U7" s="153" t="e">
        <f>+VLOOKUP($M7,Data_Validation!$A:$D,1,0)</f>
        <v>#N/A</v>
      </c>
      <c r="V7" s="153" t="e">
        <f>+VLOOKUP($M7,Data_Validation!$A:$D,3,0)</f>
        <v>#N/A</v>
      </c>
      <c r="W7" s="153" t="e">
        <f>+VLOOKUP($M7,Data_Validation!$A:$D,4,0)</f>
        <v>#N/A</v>
      </c>
      <c r="X7" s="153" t="e">
        <f>+VLOOKUP($M7,Data_Validation!$A:$E,5,0)</f>
        <v>#N/A</v>
      </c>
      <c r="Y7" s="153" t="e">
        <f>+VLOOKUP($M7,Data_Validation!$A:$F,6,0)</f>
        <v>#N/A</v>
      </c>
    </row>
    <row r="8" spans="1:27" ht="15" customHeight="1">
      <c r="B8" s="1398"/>
      <c r="C8" s="1401"/>
      <c r="D8" s="1399"/>
      <c r="E8" s="1399"/>
      <c r="F8" s="1399"/>
      <c r="G8" s="1398"/>
      <c r="H8" s="1398"/>
      <c r="I8" s="1399"/>
      <c r="J8" s="1400"/>
      <c r="K8" s="1400"/>
      <c r="L8" s="1400"/>
      <c r="M8" s="150">
        <f t="shared" si="0"/>
        <v>0</v>
      </c>
      <c r="N8" s="151">
        <f t="shared" si="1"/>
        <v>0</v>
      </c>
      <c r="O8" s="152">
        <f>+IF(OR($R8=Parametres!$G$2,$R8=Parametres!$G$3),J8,D8)</f>
        <v>0</v>
      </c>
      <c r="P8" s="1085">
        <f>+IF(OR($R8=Parametres!$G$2,$R8=Parametres!$G$3),K8,E8)</f>
        <v>0</v>
      </c>
      <c r="Q8" s="152">
        <f>+IF(OR($R8=Parametres!$G$2,$R8=Parametres!$G$3),L8,F8)</f>
        <v>0</v>
      </c>
      <c r="R8" s="151">
        <f t="shared" si="2"/>
        <v>0</v>
      </c>
      <c r="S8" s="150">
        <f t="shared" si="3"/>
        <v>0</v>
      </c>
      <c r="T8" s="151">
        <f t="shared" si="4"/>
        <v>0</v>
      </c>
      <c r="U8" s="153" t="e">
        <f>+VLOOKUP($M8,Data_Validation!$A:$D,1,0)</f>
        <v>#N/A</v>
      </c>
      <c r="V8" s="153" t="e">
        <f>+VLOOKUP($M8,Data_Validation!$A:$D,3,0)</f>
        <v>#N/A</v>
      </c>
      <c r="W8" s="153" t="e">
        <f>+VLOOKUP($M8,Data_Validation!$A:$D,4,0)</f>
        <v>#N/A</v>
      </c>
      <c r="X8" s="153" t="e">
        <f>+VLOOKUP($M8,Data_Validation!$A:$E,5,0)</f>
        <v>#N/A</v>
      </c>
      <c r="Y8" s="153" t="e">
        <f>+VLOOKUP($M8,Data_Validation!$A:$F,6,0)</f>
        <v>#N/A</v>
      </c>
    </row>
    <row r="9" spans="1:27" ht="15" customHeight="1">
      <c r="B9" s="1398"/>
      <c r="C9" s="1401"/>
      <c r="D9" s="1399"/>
      <c r="E9" s="1399"/>
      <c r="F9" s="1399"/>
      <c r="G9" s="1398"/>
      <c r="H9" s="1398"/>
      <c r="I9" s="1399"/>
      <c r="J9" s="1400"/>
      <c r="K9" s="1400"/>
      <c r="L9" s="1400"/>
      <c r="M9" s="150">
        <f t="shared" si="0"/>
        <v>0</v>
      </c>
      <c r="N9" s="151">
        <f t="shared" si="1"/>
        <v>0</v>
      </c>
      <c r="O9" s="152">
        <f>+IF(OR($R9=Parametres!$G$2,$R9=Parametres!$G$3),J9,D9)</f>
        <v>0</v>
      </c>
      <c r="P9" s="1083">
        <f>+IF(OR($R9=Parametres!$G$2,$R9=Parametres!$G$3),K9,E9)</f>
        <v>0</v>
      </c>
      <c r="Q9" s="152">
        <f>+IF(OR($R9=Parametres!$G$2,$R9=Parametres!$G$3),L9,F9)</f>
        <v>0</v>
      </c>
      <c r="R9" s="151">
        <f t="shared" si="2"/>
        <v>0</v>
      </c>
      <c r="S9" s="150">
        <f t="shared" si="3"/>
        <v>0</v>
      </c>
      <c r="T9" s="151">
        <f t="shared" si="4"/>
        <v>0</v>
      </c>
      <c r="U9" s="153" t="e">
        <f>+VLOOKUP($M9,Data_Validation!$A:$D,1,0)</f>
        <v>#N/A</v>
      </c>
      <c r="V9" s="153" t="e">
        <f>+VLOOKUP($M9,Data_Validation!$A:$D,3,0)</f>
        <v>#N/A</v>
      </c>
      <c r="W9" s="153" t="e">
        <f>+VLOOKUP($M9,Data_Validation!$A:$D,4,0)</f>
        <v>#N/A</v>
      </c>
      <c r="X9" s="153" t="e">
        <f>+VLOOKUP($M9,Data_Validation!$A:$E,5,0)</f>
        <v>#N/A</v>
      </c>
      <c r="Y9" s="153" t="e">
        <f>+VLOOKUP($M9,Data_Validation!$A:$F,6,0)</f>
        <v>#N/A</v>
      </c>
    </row>
    <row r="10" spans="1:27" ht="15" customHeight="1">
      <c r="B10" s="1398"/>
      <c r="C10" s="1401"/>
      <c r="D10" s="1399"/>
      <c r="E10" s="1399"/>
      <c r="F10" s="1399"/>
      <c r="G10" s="1398"/>
      <c r="H10" s="1398"/>
      <c r="I10" s="1399"/>
      <c r="J10" s="1400"/>
      <c r="K10" s="1400"/>
      <c r="L10" s="1400"/>
      <c r="M10" s="150">
        <f t="shared" si="0"/>
        <v>0</v>
      </c>
      <c r="N10" s="151">
        <f t="shared" si="1"/>
        <v>0</v>
      </c>
      <c r="O10" s="152">
        <f>+IF(OR($R10=Parametres!$G$2,$R10=Parametres!$G$3),J10,D10)</f>
        <v>0</v>
      </c>
      <c r="P10" s="1086">
        <f>+IF(OR($R10=Parametres!$G$2,$R10=Parametres!$G$3),K10,E10)</f>
        <v>0</v>
      </c>
      <c r="Q10" s="152">
        <f>+IF(OR($R10=Parametres!$G$2,$R10=Parametres!$G$3),L10,F10)</f>
        <v>0</v>
      </c>
      <c r="R10" s="151">
        <f t="shared" si="2"/>
        <v>0</v>
      </c>
      <c r="S10" s="150">
        <f t="shared" si="3"/>
        <v>0</v>
      </c>
      <c r="T10" s="151">
        <f t="shared" si="4"/>
        <v>0</v>
      </c>
      <c r="U10" s="153" t="e">
        <f>+VLOOKUP($M10,Data_Validation!$A:$D,1,0)</f>
        <v>#N/A</v>
      </c>
      <c r="V10" s="153" t="e">
        <f>+VLOOKUP($M10,Data_Validation!$A:$D,3,0)</f>
        <v>#N/A</v>
      </c>
      <c r="W10" s="153" t="e">
        <f>+VLOOKUP($M10,Data_Validation!$A:$D,4,0)</f>
        <v>#N/A</v>
      </c>
      <c r="X10" s="153" t="e">
        <f>+VLOOKUP($M10,Data_Validation!$A:$E,5,0)</f>
        <v>#N/A</v>
      </c>
      <c r="Y10" s="153" t="e">
        <f>+VLOOKUP($M10,Data_Validation!$A:$F,6,0)</f>
        <v>#N/A</v>
      </c>
    </row>
    <row r="11" spans="1:27" ht="15" customHeight="1">
      <c r="B11" s="1398"/>
      <c r="C11" s="1401"/>
      <c r="D11" s="1399"/>
      <c r="E11" s="1399"/>
      <c r="F11" s="1399"/>
      <c r="G11" s="1398"/>
      <c r="H11" s="1398"/>
      <c r="I11" s="1399"/>
      <c r="J11" s="1400"/>
      <c r="K11" s="1400"/>
      <c r="L11" s="1400"/>
      <c r="M11" s="150">
        <f t="shared" si="0"/>
        <v>0</v>
      </c>
      <c r="N11" s="151">
        <f t="shared" si="1"/>
        <v>0</v>
      </c>
      <c r="O11" s="152">
        <f>+IF(OR($R11=Parametres!$G$2,$R11=Parametres!$G$3),J11,D11)</f>
        <v>0</v>
      </c>
      <c r="P11" s="1086">
        <f>+IF(OR($R11=Parametres!$G$2,$R11=Parametres!$G$3),K11,E11)</f>
        <v>0</v>
      </c>
      <c r="Q11" s="152">
        <f>+IF(OR($R11=Parametres!$G$2,$R11=Parametres!$G$3),L11,F11)</f>
        <v>0</v>
      </c>
      <c r="R11" s="151">
        <f t="shared" si="2"/>
        <v>0</v>
      </c>
      <c r="S11" s="150">
        <f t="shared" si="3"/>
        <v>0</v>
      </c>
      <c r="T11" s="151">
        <f t="shared" si="4"/>
        <v>0</v>
      </c>
      <c r="U11" s="153" t="e">
        <f>+VLOOKUP($M11,Data_Validation!$A:$D,1,0)</f>
        <v>#N/A</v>
      </c>
      <c r="V11" s="153" t="e">
        <f>+VLOOKUP($M11,Data_Validation!$A:$D,3,0)</f>
        <v>#N/A</v>
      </c>
      <c r="W11" s="153" t="e">
        <f>+VLOOKUP($M11,Data_Validation!$A:$D,4,0)</f>
        <v>#N/A</v>
      </c>
      <c r="X11" s="153" t="e">
        <f>+VLOOKUP($M11,Data_Validation!$A:$E,5,0)</f>
        <v>#N/A</v>
      </c>
      <c r="Y11" s="153" t="e">
        <f>+VLOOKUP($M11,Data_Validation!$A:$F,6,0)</f>
        <v>#N/A</v>
      </c>
    </row>
    <row r="12" spans="1:27" ht="15" customHeight="1">
      <c r="B12" s="1398"/>
      <c r="C12" s="1401"/>
      <c r="D12" s="1399"/>
      <c r="E12" s="1399"/>
      <c r="F12" s="1399"/>
      <c r="G12" s="1398"/>
      <c r="H12" s="1398"/>
      <c r="I12" s="1399"/>
      <c r="J12" s="1400"/>
      <c r="K12" s="1400"/>
      <c r="L12" s="1400"/>
      <c r="M12" s="150">
        <f t="shared" si="0"/>
        <v>0</v>
      </c>
      <c r="N12" s="151">
        <f t="shared" si="1"/>
        <v>0</v>
      </c>
      <c r="O12" s="152">
        <f>+IF(OR($R12=Parametres!$G$2,$R12=Parametres!$G$3),J12,D12)</f>
        <v>0</v>
      </c>
      <c r="P12" s="1085">
        <f>+IF(OR($R12=Parametres!$G$2,$R12=Parametres!$G$3),K12,E12)</f>
        <v>0</v>
      </c>
      <c r="Q12" s="152">
        <f>+IF(OR($R12=Parametres!$G$2,$R12=Parametres!$G$3),L12,F12)</f>
        <v>0</v>
      </c>
      <c r="R12" s="151">
        <f t="shared" si="2"/>
        <v>0</v>
      </c>
      <c r="S12" s="150">
        <f t="shared" si="3"/>
        <v>0</v>
      </c>
      <c r="T12" s="151">
        <f t="shared" si="4"/>
        <v>0</v>
      </c>
      <c r="U12" s="153" t="e">
        <f>+VLOOKUP($M12,Data_Validation!$A:$D,1,0)</f>
        <v>#N/A</v>
      </c>
      <c r="V12" s="153" t="e">
        <f>+VLOOKUP($M12,Data_Validation!$A:$D,3,0)</f>
        <v>#N/A</v>
      </c>
      <c r="W12" s="153" t="e">
        <f>+VLOOKUP($M12,Data_Validation!$A:$D,4,0)</f>
        <v>#N/A</v>
      </c>
      <c r="X12" s="153" t="e">
        <f>+VLOOKUP($M12,Data_Validation!$A:$E,5,0)</f>
        <v>#N/A</v>
      </c>
      <c r="Y12" s="153" t="e">
        <f>+VLOOKUP($M12,Data_Validation!$A:$F,6,0)</f>
        <v>#N/A</v>
      </c>
    </row>
    <row r="13" spans="1:27" ht="15" customHeight="1">
      <c r="B13" s="1398"/>
      <c r="C13" s="1401"/>
      <c r="D13" s="1399"/>
      <c r="E13" s="1399"/>
      <c r="F13" s="1399"/>
      <c r="G13" s="1398"/>
      <c r="H13" s="1398"/>
      <c r="I13" s="1399"/>
      <c r="J13" s="1400"/>
      <c r="K13" s="1400"/>
      <c r="L13" s="1400"/>
      <c r="M13" s="150">
        <f t="shared" si="0"/>
        <v>0</v>
      </c>
      <c r="N13" s="151">
        <f t="shared" si="1"/>
        <v>0</v>
      </c>
      <c r="O13" s="152">
        <f>+IF(OR($R13=Parametres!$G$2,$R13=Parametres!$G$3),J13,D13)</f>
        <v>0</v>
      </c>
      <c r="P13" s="1085">
        <f>+IF(OR($R13=Parametres!$G$2,$R13=Parametres!$G$3),K13,E13)</f>
        <v>0</v>
      </c>
      <c r="Q13" s="152">
        <f>+IF(OR($R13=Parametres!$G$2,$R13=Parametres!$G$3),L13,F13)</f>
        <v>0</v>
      </c>
      <c r="R13" s="151">
        <f t="shared" si="2"/>
        <v>0</v>
      </c>
      <c r="S13" s="150">
        <f t="shared" si="3"/>
        <v>0</v>
      </c>
      <c r="T13" s="151">
        <f t="shared" si="4"/>
        <v>0</v>
      </c>
      <c r="U13" s="153" t="e">
        <f>+VLOOKUP($M13,Data_Validation!$A:$D,1,0)</f>
        <v>#N/A</v>
      </c>
      <c r="V13" s="153" t="e">
        <f>+VLOOKUP($M13,Data_Validation!$A:$D,3,0)</f>
        <v>#N/A</v>
      </c>
      <c r="W13" s="153" t="e">
        <f>+VLOOKUP($M13,Data_Validation!$A:$D,4,0)</f>
        <v>#N/A</v>
      </c>
      <c r="X13" s="153" t="e">
        <f>+VLOOKUP($M13,Data_Validation!$A:$E,5,0)</f>
        <v>#N/A</v>
      </c>
      <c r="Y13" s="153" t="e">
        <f>+VLOOKUP($M13,Data_Validation!$A:$F,6,0)</f>
        <v>#N/A</v>
      </c>
    </row>
    <row r="14" spans="1:27" ht="15" customHeight="1">
      <c r="B14" s="1398"/>
      <c r="C14" s="1401"/>
      <c r="D14" s="1399"/>
      <c r="E14" s="1399"/>
      <c r="F14" s="1399"/>
      <c r="G14" s="1398"/>
      <c r="H14" s="1398"/>
      <c r="I14" s="1399"/>
      <c r="J14" s="1400"/>
      <c r="K14" s="1400"/>
      <c r="L14" s="1400"/>
      <c r="M14" s="150">
        <f t="shared" si="0"/>
        <v>0</v>
      </c>
      <c r="N14" s="151">
        <f t="shared" si="1"/>
        <v>0</v>
      </c>
      <c r="O14" s="152">
        <f>+IF(OR($R14=Parametres!$G$2,$R14=Parametres!$G$3),J14,D14)</f>
        <v>0</v>
      </c>
      <c r="P14" s="1085">
        <f>+IF(OR($R14=Parametres!$G$2,$R14=Parametres!$G$3),K14,E14)</f>
        <v>0</v>
      </c>
      <c r="Q14" s="152">
        <f>+IF(OR($R14=Parametres!$G$2,$R14=Parametres!$G$3),L14,F14)</f>
        <v>0</v>
      </c>
      <c r="R14" s="151">
        <f t="shared" si="2"/>
        <v>0</v>
      </c>
      <c r="S14" s="150">
        <f t="shared" si="3"/>
        <v>0</v>
      </c>
      <c r="T14" s="151">
        <f t="shared" si="4"/>
        <v>0</v>
      </c>
      <c r="U14" s="153" t="e">
        <f>+VLOOKUP($M14,Data_Validation!$A:$D,1,0)</f>
        <v>#N/A</v>
      </c>
      <c r="V14" s="153" t="e">
        <f>+VLOOKUP($M14,Data_Validation!$A:$D,3,0)</f>
        <v>#N/A</v>
      </c>
      <c r="W14" s="153" t="e">
        <f>+VLOOKUP($M14,Data_Validation!$A:$D,4,0)</f>
        <v>#N/A</v>
      </c>
      <c r="X14" s="153" t="e">
        <f>+VLOOKUP($M14,Data_Validation!$A:$E,5,0)</f>
        <v>#N/A</v>
      </c>
      <c r="Y14" s="153" t="e">
        <f>+VLOOKUP($M14,Data_Validation!$A:$F,6,0)</f>
        <v>#N/A</v>
      </c>
    </row>
    <row r="15" spans="1:27" ht="15" customHeight="1">
      <c r="B15" s="1398"/>
      <c r="C15" s="1401"/>
      <c r="D15" s="1399"/>
      <c r="E15" s="1399"/>
      <c r="F15" s="1399"/>
      <c r="G15" s="1398"/>
      <c r="H15" s="1398"/>
      <c r="I15" s="1399"/>
      <c r="J15" s="1400"/>
      <c r="K15" s="1400"/>
      <c r="L15" s="1400"/>
      <c r="M15" s="150">
        <f t="shared" si="0"/>
        <v>0</v>
      </c>
      <c r="N15" s="151">
        <f t="shared" si="1"/>
        <v>0</v>
      </c>
      <c r="O15" s="152">
        <f>+IF(OR($R15=Parametres!$G$2,$R15=Parametres!$G$3),J15,D15)</f>
        <v>0</v>
      </c>
      <c r="P15" s="1085">
        <f>+IF(OR($R15=Parametres!$G$2,$R15=Parametres!$G$3),K15,E15)</f>
        <v>0</v>
      </c>
      <c r="Q15" s="152">
        <f>+IF(OR($R15=Parametres!$G$2,$R15=Parametres!$G$3),L15,F15)</f>
        <v>0</v>
      </c>
      <c r="R15" s="151">
        <f t="shared" si="2"/>
        <v>0</v>
      </c>
      <c r="S15" s="150">
        <f t="shared" si="3"/>
        <v>0</v>
      </c>
      <c r="T15" s="151">
        <f t="shared" si="4"/>
        <v>0</v>
      </c>
      <c r="U15" s="153" t="e">
        <f>+VLOOKUP($M15,Data_Validation!$A:$D,1,0)</f>
        <v>#N/A</v>
      </c>
      <c r="V15" s="153" t="e">
        <f>+VLOOKUP($M15,Data_Validation!$A:$D,3,0)</f>
        <v>#N/A</v>
      </c>
      <c r="W15" s="153" t="e">
        <f>+VLOOKUP($M15,Data_Validation!$A:$D,4,0)</f>
        <v>#N/A</v>
      </c>
      <c r="X15" s="153" t="e">
        <f>+VLOOKUP($M15,Data_Validation!$A:$E,5,0)</f>
        <v>#N/A</v>
      </c>
      <c r="Y15" s="153" t="e">
        <f>+VLOOKUP($M15,Data_Validation!$A:$F,6,0)</f>
        <v>#N/A</v>
      </c>
    </row>
    <row r="16" spans="1:27" ht="15" customHeight="1">
      <c r="B16" s="1398"/>
      <c r="C16" s="1401"/>
      <c r="D16" s="1399"/>
      <c r="E16" s="1399"/>
      <c r="F16" s="1399"/>
      <c r="G16" s="1398"/>
      <c r="H16" s="1398"/>
      <c r="I16" s="1399"/>
      <c r="J16" s="1400"/>
      <c r="K16" s="1400"/>
      <c r="L16" s="1400"/>
      <c r="M16" s="150">
        <f t="shared" si="0"/>
        <v>0</v>
      </c>
      <c r="N16" s="151">
        <f t="shared" si="1"/>
        <v>0</v>
      </c>
      <c r="O16" s="152">
        <f>+IF(OR($R16=Parametres!$G$2,$R16=Parametres!$G$3),J16,D16)</f>
        <v>0</v>
      </c>
      <c r="P16" s="1085">
        <f>+IF(OR($R16=Parametres!$G$2,$R16=Parametres!$G$3),K16,E16)</f>
        <v>0</v>
      </c>
      <c r="Q16" s="152">
        <f>+IF(OR($R16=Parametres!$G$2,$R16=Parametres!$G$3),L16,F16)</f>
        <v>0</v>
      </c>
      <c r="R16" s="151">
        <f t="shared" si="2"/>
        <v>0</v>
      </c>
      <c r="S16" s="150">
        <f t="shared" si="3"/>
        <v>0</v>
      </c>
      <c r="T16" s="151">
        <f t="shared" si="4"/>
        <v>0</v>
      </c>
      <c r="U16" s="153" t="e">
        <f>+VLOOKUP($M16,Data_Validation!$A:$D,1,0)</f>
        <v>#N/A</v>
      </c>
      <c r="V16" s="153" t="e">
        <f>+VLOOKUP($M16,Data_Validation!$A:$D,3,0)</f>
        <v>#N/A</v>
      </c>
      <c r="W16" s="153" t="e">
        <f>+VLOOKUP($M16,Data_Validation!$A:$D,4,0)</f>
        <v>#N/A</v>
      </c>
      <c r="X16" s="153" t="e">
        <f>+VLOOKUP($M16,Data_Validation!$A:$E,5,0)</f>
        <v>#N/A</v>
      </c>
      <c r="Y16" s="153" t="e">
        <f>+VLOOKUP($M16,Data_Validation!$A:$F,6,0)</f>
        <v>#N/A</v>
      </c>
    </row>
    <row r="17" spans="2:25" ht="15" customHeight="1">
      <c r="B17" s="1398"/>
      <c r="C17" s="1401"/>
      <c r="D17" s="1399"/>
      <c r="E17" s="1399"/>
      <c r="F17" s="1399"/>
      <c r="G17" s="1398"/>
      <c r="H17" s="1398"/>
      <c r="I17" s="1399"/>
      <c r="J17" s="1400"/>
      <c r="K17" s="1400"/>
      <c r="L17" s="1400"/>
      <c r="M17" s="150">
        <f t="shared" si="0"/>
        <v>0</v>
      </c>
      <c r="N17" s="151">
        <f t="shared" si="1"/>
        <v>0</v>
      </c>
      <c r="O17" s="152">
        <f>+IF(OR($R17=Parametres!$G$2,$R17=Parametres!$G$3),J17,D17)</f>
        <v>0</v>
      </c>
      <c r="P17" s="1085">
        <f>+IF(OR($R17=Parametres!$G$2,$R17=Parametres!$G$3),K17,E17)</f>
        <v>0</v>
      </c>
      <c r="Q17" s="152">
        <f>+IF(OR($R17=Parametres!$G$2,$R17=Parametres!$G$3),L17,F17)</f>
        <v>0</v>
      </c>
      <c r="R17" s="151">
        <f t="shared" si="2"/>
        <v>0</v>
      </c>
      <c r="S17" s="150">
        <f t="shared" si="3"/>
        <v>0</v>
      </c>
      <c r="T17" s="151">
        <f t="shared" si="4"/>
        <v>0</v>
      </c>
      <c r="U17" s="153" t="e">
        <f>+VLOOKUP($M17,Data_Validation!$A:$D,1,0)</f>
        <v>#N/A</v>
      </c>
      <c r="V17" s="153" t="e">
        <f>+VLOOKUP($M17,Data_Validation!$A:$D,3,0)</f>
        <v>#N/A</v>
      </c>
      <c r="W17" s="153" t="e">
        <f>+VLOOKUP($M17,Data_Validation!$A:$D,4,0)</f>
        <v>#N/A</v>
      </c>
      <c r="X17" s="153" t="e">
        <f>+VLOOKUP($M17,Data_Validation!$A:$E,5,0)</f>
        <v>#N/A</v>
      </c>
      <c r="Y17" s="153" t="e">
        <f>+VLOOKUP($M17,Data_Validation!$A:$F,6,0)</f>
        <v>#N/A</v>
      </c>
    </row>
    <row r="18" spans="2:25" ht="15" customHeight="1">
      <c r="B18" s="1398"/>
      <c r="C18" s="1401"/>
      <c r="D18" s="1399"/>
      <c r="E18" s="1399"/>
      <c r="F18" s="1399"/>
      <c r="G18" s="1398"/>
      <c r="H18" s="1398"/>
      <c r="I18" s="1399"/>
      <c r="J18" s="1400"/>
      <c r="K18" s="1400"/>
      <c r="L18" s="1400"/>
      <c r="M18" s="150">
        <f t="shared" si="0"/>
        <v>0</v>
      </c>
      <c r="N18" s="151">
        <f t="shared" si="1"/>
        <v>0</v>
      </c>
      <c r="O18" s="152">
        <f>+IF(OR($R18=Parametres!$G$2,$R18=Parametres!$G$3),J18,D18)</f>
        <v>0</v>
      </c>
      <c r="P18" s="1085">
        <f>+IF(OR($R18=Parametres!$G$2,$R18=Parametres!$G$3),K18,E18)</f>
        <v>0</v>
      </c>
      <c r="Q18" s="152">
        <f>+IF(OR($R18=Parametres!$G$2,$R18=Parametres!$G$3),L18,F18)</f>
        <v>0</v>
      </c>
      <c r="R18" s="151">
        <f t="shared" si="2"/>
        <v>0</v>
      </c>
      <c r="S18" s="150">
        <f t="shared" si="3"/>
        <v>0</v>
      </c>
      <c r="T18" s="151">
        <f t="shared" si="4"/>
        <v>0</v>
      </c>
      <c r="U18" s="153" t="e">
        <f>+VLOOKUP($M18,Data_Validation!$A:$D,1,0)</f>
        <v>#N/A</v>
      </c>
      <c r="V18" s="153" t="e">
        <f>+VLOOKUP($M18,Data_Validation!$A:$D,3,0)</f>
        <v>#N/A</v>
      </c>
      <c r="W18" s="153" t="e">
        <f>+VLOOKUP($M18,Data_Validation!$A:$D,4,0)</f>
        <v>#N/A</v>
      </c>
      <c r="X18" s="153" t="e">
        <f>+VLOOKUP($M18,Data_Validation!$A:$E,5,0)</f>
        <v>#N/A</v>
      </c>
      <c r="Y18" s="153" t="e">
        <f>+VLOOKUP($M18,Data_Validation!$A:$F,6,0)</f>
        <v>#N/A</v>
      </c>
    </row>
    <row r="19" spans="2:25" ht="15" customHeight="1">
      <c r="B19" s="1398"/>
      <c r="C19" s="1401"/>
      <c r="D19" s="1399"/>
      <c r="E19" s="1399"/>
      <c r="F19" s="1399"/>
      <c r="G19" s="1398"/>
      <c r="H19" s="1398"/>
      <c r="I19" s="1399"/>
      <c r="J19" s="1400"/>
      <c r="K19" s="1400"/>
      <c r="L19" s="1400"/>
      <c r="M19" s="150">
        <f t="shared" si="0"/>
        <v>0</v>
      </c>
      <c r="N19" s="151">
        <f t="shared" si="1"/>
        <v>0</v>
      </c>
      <c r="O19" s="152">
        <f>+IF(OR($R19=Parametres!$G$2,$R19=Parametres!$G$3),J19,D19)</f>
        <v>0</v>
      </c>
      <c r="P19" s="1083">
        <f>+IF(OR($R19=Parametres!$G$2,$R19=Parametres!$G$3),K19,E19)</f>
        <v>0</v>
      </c>
      <c r="Q19" s="152">
        <f>+IF(OR($R19=Parametres!$G$2,$R19=Parametres!$G$3),L19,F19)</f>
        <v>0</v>
      </c>
      <c r="R19" s="151">
        <f t="shared" si="2"/>
        <v>0</v>
      </c>
      <c r="S19" s="150">
        <f t="shared" si="3"/>
        <v>0</v>
      </c>
      <c r="T19" s="151">
        <f t="shared" si="4"/>
        <v>0</v>
      </c>
      <c r="U19" s="153" t="e">
        <f>+VLOOKUP($M19,Data_Validation!$A:$D,1,0)</f>
        <v>#N/A</v>
      </c>
      <c r="V19" s="153" t="e">
        <f>+VLOOKUP($M19,Data_Validation!$A:$D,3,0)</f>
        <v>#N/A</v>
      </c>
      <c r="W19" s="153" t="e">
        <f>+VLOOKUP($M19,Data_Validation!$A:$D,4,0)</f>
        <v>#N/A</v>
      </c>
      <c r="X19" s="153" t="e">
        <f>+VLOOKUP($M19,Data_Validation!$A:$E,5,0)</f>
        <v>#N/A</v>
      </c>
      <c r="Y19" s="153" t="e">
        <f>+VLOOKUP($M19,Data_Validation!$A:$F,6,0)</f>
        <v>#N/A</v>
      </c>
    </row>
    <row r="20" spans="2:25" ht="15" customHeight="1">
      <c r="B20" s="1398"/>
      <c r="C20" s="1401"/>
      <c r="D20" s="1399"/>
      <c r="E20" s="1399"/>
      <c r="F20" s="1399"/>
      <c r="G20" s="1398"/>
      <c r="H20" s="1398"/>
      <c r="I20" s="1399"/>
      <c r="J20" s="1400"/>
      <c r="K20" s="1400"/>
      <c r="L20" s="1400"/>
      <c r="M20" s="150">
        <f t="shared" si="0"/>
        <v>0</v>
      </c>
      <c r="N20" s="151">
        <f t="shared" si="1"/>
        <v>0</v>
      </c>
      <c r="O20" s="152">
        <f>+IF(OR($R20=Parametres!$G$2,$R20=Parametres!$G$3),J20,D20)</f>
        <v>0</v>
      </c>
      <c r="P20" s="1085">
        <f>+IF(OR($R20=Parametres!$G$2,$R20=Parametres!$G$3),K20,E20)</f>
        <v>0</v>
      </c>
      <c r="Q20" s="152">
        <f>+IF(OR($R20=Parametres!$G$2,$R20=Parametres!$G$3),L20,F20)</f>
        <v>0</v>
      </c>
      <c r="R20" s="151">
        <f t="shared" si="2"/>
        <v>0</v>
      </c>
      <c r="S20" s="150">
        <f t="shared" si="3"/>
        <v>0</v>
      </c>
      <c r="T20" s="151">
        <f t="shared" si="4"/>
        <v>0</v>
      </c>
      <c r="U20" s="153" t="e">
        <f>+VLOOKUP($M20,Data_Validation!$A:$D,1,0)</f>
        <v>#N/A</v>
      </c>
      <c r="V20" s="153" t="e">
        <f>+VLOOKUP($M20,Data_Validation!$A:$D,3,0)</f>
        <v>#N/A</v>
      </c>
      <c r="W20" s="153" t="e">
        <f>+VLOOKUP($M20,Data_Validation!$A:$D,4,0)</f>
        <v>#N/A</v>
      </c>
      <c r="X20" s="153" t="e">
        <f>+VLOOKUP($M20,Data_Validation!$A:$E,5,0)</f>
        <v>#N/A</v>
      </c>
      <c r="Y20" s="153" t="e">
        <f>+VLOOKUP($M20,Data_Validation!$A:$F,6,0)</f>
        <v>#N/A</v>
      </c>
    </row>
    <row r="21" spans="2:25" ht="15" customHeight="1">
      <c r="B21" s="1398"/>
      <c r="C21" s="1401"/>
      <c r="D21" s="1399"/>
      <c r="E21" s="1399"/>
      <c r="F21" s="1399"/>
      <c r="G21" s="1398"/>
      <c r="H21" s="1398"/>
      <c r="I21" s="1399"/>
      <c r="J21" s="1400"/>
      <c r="K21" s="1400"/>
      <c r="L21" s="1400"/>
      <c r="M21" s="150">
        <f t="shared" si="0"/>
        <v>0</v>
      </c>
      <c r="N21" s="151">
        <f t="shared" si="1"/>
        <v>0</v>
      </c>
      <c r="O21" s="152">
        <f>+IF(OR($R21=Parametres!$G$2,$R21=Parametres!$G$3),J21,D21)</f>
        <v>0</v>
      </c>
      <c r="P21" s="1085">
        <f>+IF(OR($R21=Parametres!$G$2,$R21=Parametres!$G$3),K21,E21)</f>
        <v>0</v>
      </c>
      <c r="Q21" s="152">
        <f>+IF(OR($R21=Parametres!$G$2,$R21=Parametres!$G$3),L21,F21)</f>
        <v>0</v>
      </c>
      <c r="R21" s="151">
        <f t="shared" si="2"/>
        <v>0</v>
      </c>
      <c r="S21" s="150">
        <f t="shared" si="3"/>
        <v>0</v>
      </c>
      <c r="T21" s="151">
        <f t="shared" si="4"/>
        <v>0</v>
      </c>
      <c r="U21" s="153" t="e">
        <f>+VLOOKUP($M21,Data_Validation!$A:$D,1,0)</f>
        <v>#N/A</v>
      </c>
      <c r="V21" s="153" t="e">
        <f>+VLOOKUP($M21,Data_Validation!$A:$D,3,0)</f>
        <v>#N/A</v>
      </c>
      <c r="W21" s="153" t="e">
        <f>+VLOOKUP($M21,Data_Validation!$A:$D,4,0)</f>
        <v>#N/A</v>
      </c>
      <c r="X21" s="153" t="e">
        <f>+VLOOKUP($M21,Data_Validation!$A:$E,5,0)</f>
        <v>#N/A</v>
      </c>
      <c r="Y21" s="153" t="e">
        <f>+VLOOKUP($M21,Data_Validation!$A:$F,6,0)</f>
        <v>#N/A</v>
      </c>
    </row>
    <row r="22" spans="2:25" ht="15" customHeight="1">
      <c r="B22" s="1398"/>
      <c r="C22" s="1401"/>
      <c r="D22" s="1399"/>
      <c r="E22" s="1399"/>
      <c r="F22" s="1399"/>
      <c r="G22" s="1398"/>
      <c r="H22" s="1398"/>
      <c r="I22" s="1399"/>
      <c r="J22" s="1400"/>
      <c r="K22" s="1400"/>
      <c r="L22" s="1400"/>
      <c r="M22" s="150">
        <f t="shared" si="0"/>
        <v>0</v>
      </c>
      <c r="N22" s="151">
        <f t="shared" si="1"/>
        <v>0</v>
      </c>
      <c r="O22" s="152">
        <f>+IF(OR($R22=Parametres!$G$2,$R22=Parametres!$G$3),J22,D22)</f>
        <v>0</v>
      </c>
      <c r="P22" s="1085">
        <f>+IF(OR($R22=Parametres!$G$2,$R22=Parametres!$G$3),K22,E22)</f>
        <v>0</v>
      </c>
      <c r="Q22" s="152">
        <f>+IF(OR($R22=Parametres!$G$2,$R22=Parametres!$G$3),L22,F22)</f>
        <v>0</v>
      </c>
      <c r="R22" s="151">
        <f t="shared" si="2"/>
        <v>0</v>
      </c>
      <c r="S22" s="150">
        <f t="shared" si="3"/>
        <v>0</v>
      </c>
      <c r="T22" s="151">
        <f t="shared" si="4"/>
        <v>0</v>
      </c>
      <c r="U22" s="153" t="e">
        <f>+VLOOKUP($M22,Data_Validation!$A:$D,1,0)</f>
        <v>#N/A</v>
      </c>
      <c r="V22" s="153" t="e">
        <f>+VLOOKUP($M22,Data_Validation!$A:$D,3,0)</f>
        <v>#N/A</v>
      </c>
      <c r="W22" s="153" t="e">
        <f>+VLOOKUP($M22,Data_Validation!$A:$D,4,0)</f>
        <v>#N/A</v>
      </c>
      <c r="X22" s="153" t="e">
        <f>+VLOOKUP($M22,Data_Validation!$A:$E,5,0)</f>
        <v>#N/A</v>
      </c>
      <c r="Y22" s="153" t="e">
        <f>+VLOOKUP($M22,Data_Validation!$A:$F,6,0)</f>
        <v>#N/A</v>
      </c>
    </row>
    <row r="23" spans="2:25" ht="15" customHeight="1">
      <c r="B23" s="1398"/>
      <c r="C23" s="1401"/>
      <c r="D23" s="1399"/>
      <c r="E23" s="1399"/>
      <c r="F23" s="1399"/>
      <c r="G23" s="1398"/>
      <c r="H23" s="1398"/>
      <c r="I23" s="1399"/>
      <c r="J23" s="1400"/>
      <c r="K23" s="1400"/>
      <c r="L23" s="1400"/>
      <c r="M23" s="150">
        <f t="shared" si="0"/>
        <v>0</v>
      </c>
      <c r="N23" s="151">
        <f t="shared" si="1"/>
        <v>0</v>
      </c>
      <c r="O23" s="152">
        <f>+IF(OR($R23=Parametres!$G$2,$R23=Parametres!$G$3),J23,D23)</f>
        <v>0</v>
      </c>
      <c r="P23" s="1085">
        <f>+IF(OR($R23=Parametres!$G$2,$R23=Parametres!$G$3),K23,E23)</f>
        <v>0</v>
      </c>
      <c r="Q23" s="152">
        <f>+IF(OR($R23=Parametres!$G$2,$R23=Parametres!$G$3),L23,F23)</f>
        <v>0</v>
      </c>
      <c r="R23" s="151">
        <f t="shared" si="2"/>
        <v>0</v>
      </c>
      <c r="S23" s="150">
        <f t="shared" si="3"/>
        <v>0</v>
      </c>
      <c r="T23" s="151">
        <f t="shared" si="4"/>
        <v>0</v>
      </c>
      <c r="U23" s="153" t="e">
        <f>+VLOOKUP($M23,Data_Validation!$A:$D,1,0)</f>
        <v>#N/A</v>
      </c>
      <c r="V23" s="153" t="e">
        <f>+VLOOKUP($M23,Data_Validation!$A:$D,3,0)</f>
        <v>#N/A</v>
      </c>
      <c r="W23" s="153" t="e">
        <f>+VLOOKUP($M23,Data_Validation!$A:$D,4,0)</f>
        <v>#N/A</v>
      </c>
      <c r="X23" s="153" t="e">
        <f>+VLOOKUP($M23,Data_Validation!$A:$E,5,0)</f>
        <v>#N/A</v>
      </c>
      <c r="Y23" s="153" t="e">
        <f>+VLOOKUP($M23,Data_Validation!$A:$F,6,0)</f>
        <v>#N/A</v>
      </c>
    </row>
    <row r="24" spans="2:25" ht="15" customHeight="1">
      <c r="B24" s="1398"/>
      <c r="C24" s="1401"/>
      <c r="D24" s="1399"/>
      <c r="E24" s="1399"/>
      <c r="F24" s="1399"/>
      <c r="G24" s="1398"/>
      <c r="H24" s="1398"/>
      <c r="I24" s="1399"/>
      <c r="J24" s="1400"/>
      <c r="K24" s="1400"/>
      <c r="L24" s="1400"/>
      <c r="M24" s="150">
        <f t="shared" si="0"/>
        <v>0</v>
      </c>
      <c r="N24" s="151">
        <f t="shared" si="1"/>
        <v>0</v>
      </c>
      <c r="O24" s="152">
        <f>+IF(OR($R24=Parametres!$G$2,$R24=Parametres!$G$3),J24,D24)</f>
        <v>0</v>
      </c>
      <c r="P24" s="1085">
        <f>+IF(OR($R24=Parametres!$G$2,$R24=Parametres!$G$3),K24,E24)</f>
        <v>0</v>
      </c>
      <c r="Q24" s="152">
        <f>+IF(OR($R24=Parametres!$G$2,$R24=Parametres!$G$3),L24,F24)</f>
        <v>0</v>
      </c>
      <c r="R24" s="151">
        <f t="shared" si="2"/>
        <v>0</v>
      </c>
      <c r="S24" s="150">
        <f t="shared" si="3"/>
        <v>0</v>
      </c>
      <c r="T24" s="151">
        <f t="shared" si="4"/>
        <v>0</v>
      </c>
      <c r="U24" s="153" t="e">
        <f>+VLOOKUP($M24,Data_Validation!$A:$D,1,0)</f>
        <v>#N/A</v>
      </c>
      <c r="V24" s="153" t="e">
        <f>+VLOOKUP($M24,Data_Validation!$A:$D,3,0)</f>
        <v>#N/A</v>
      </c>
      <c r="W24" s="153" t="e">
        <f>+VLOOKUP($M24,Data_Validation!$A:$D,4,0)</f>
        <v>#N/A</v>
      </c>
      <c r="X24" s="153" t="e">
        <f>+VLOOKUP($M24,Data_Validation!$A:$E,5,0)</f>
        <v>#N/A</v>
      </c>
      <c r="Y24" s="153" t="e">
        <f>+VLOOKUP($M24,Data_Validation!$A:$F,6,0)</f>
        <v>#N/A</v>
      </c>
    </row>
    <row r="25" spans="2:25" ht="15" customHeight="1">
      <c r="B25" s="1398"/>
      <c r="C25" s="1401"/>
      <c r="D25" s="1399"/>
      <c r="E25" s="1399"/>
      <c r="F25" s="1399"/>
      <c r="G25" s="1398"/>
      <c r="H25" s="1398"/>
      <c r="I25" s="1399"/>
      <c r="J25" s="1400"/>
      <c r="K25" s="1400"/>
      <c r="L25" s="1400"/>
      <c r="M25" s="150">
        <f t="shared" si="0"/>
        <v>0</v>
      </c>
      <c r="N25" s="151">
        <f t="shared" si="1"/>
        <v>0</v>
      </c>
      <c r="O25" s="152">
        <f>+IF(OR($R25=Parametres!$G$2,$R25=Parametres!$G$3),J25,D25)</f>
        <v>0</v>
      </c>
      <c r="P25" s="1085">
        <f>+IF(OR($R25=Parametres!$G$2,$R25=Parametres!$G$3),K25,E25)</f>
        <v>0</v>
      </c>
      <c r="Q25" s="152">
        <f>+IF(OR($R25=Parametres!$G$2,$R25=Parametres!$G$3),L25,F25)</f>
        <v>0</v>
      </c>
      <c r="R25" s="151">
        <f t="shared" si="2"/>
        <v>0</v>
      </c>
      <c r="S25" s="150">
        <f t="shared" si="3"/>
        <v>0</v>
      </c>
      <c r="T25" s="151">
        <f t="shared" si="4"/>
        <v>0</v>
      </c>
      <c r="U25" s="153" t="e">
        <f>+VLOOKUP($M25,Data_Validation!$A:$D,1,0)</f>
        <v>#N/A</v>
      </c>
      <c r="V25" s="153" t="e">
        <f>+VLOOKUP($M25,Data_Validation!$A:$D,3,0)</f>
        <v>#N/A</v>
      </c>
      <c r="W25" s="153" t="e">
        <f>+VLOOKUP($M25,Data_Validation!$A:$D,4,0)</f>
        <v>#N/A</v>
      </c>
      <c r="X25" s="153" t="e">
        <f>+VLOOKUP($M25,Data_Validation!$A:$E,5,0)</f>
        <v>#N/A</v>
      </c>
      <c r="Y25" s="153" t="e">
        <f>+VLOOKUP($M25,Data_Validation!$A:$F,6,0)</f>
        <v>#N/A</v>
      </c>
    </row>
    <row r="26" spans="2:25" ht="15.75" customHeight="1">
      <c r="B26" s="1398"/>
      <c r="C26" s="1401"/>
      <c r="D26" s="1399"/>
      <c r="E26" s="1399"/>
      <c r="F26" s="1399"/>
      <c r="G26" s="1398"/>
      <c r="H26" s="1398"/>
      <c r="I26" s="1399"/>
      <c r="J26" s="1400"/>
      <c r="K26" s="1400"/>
      <c r="L26" s="1400"/>
      <c r="M26" s="150">
        <f t="shared" si="0"/>
        <v>0</v>
      </c>
      <c r="N26" s="151">
        <f t="shared" si="1"/>
        <v>0</v>
      </c>
      <c r="O26" s="152">
        <f>+IF(OR($R26=Parametres!$G$2,$R26=Parametres!$G$3),J26,D26)</f>
        <v>0</v>
      </c>
      <c r="P26" s="1085">
        <f>+IF(OR($R26=Parametres!$G$2,$R26=Parametres!$G$3),K26,E26)</f>
        <v>0</v>
      </c>
      <c r="Q26" s="152">
        <f>+IF(OR($R26=Parametres!$G$2,$R26=Parametres!$G$3),L26,F26)</f>
        <v>0</v>
      </c>
      <c r="R26" s="151">
        <f t="shared" si="2"/>
        <v>0</v>
      </c>
      <c r="S26" s="150">
        <f t="shared" si="3"/>
        <v>0</v>
      </c>
      <c r="T26" s="151">
        <f t="shared" si="4"/>
        <v>0</v>
      </c>
      <c r="U26" s="153" t="e">
        <f>+VLOOKUP($M26,Data_Validation!$A:$D,1,0)</f>
        <v>#N/A</v>
      </c>
      <c r="V26" s="153" t="e">
        <f>+VLOOKUP($M26,Data_Validation!$A:$D,3,0)</f>
        <v>#N/A</v>
      </c>
      <c r="W26" s="153" t="e">
        <f>+VLOOKUP($M26,Data_Validation!$A:$D,4,0)</f>
        <v>#N/A</v>
      </c>
      <c r="X26" s="153" t="e">
        <f>+VLOOKUP($M26,Data_Validation!$A:$E,5,0)</f>
        <v>#N/A</v>
      </c>
      <c r="Y26" s="153" t="e">
        <f>+VLOOKUP($M26,Data_Validation!$A:$F,6,0)</f>
        <v>#N/A</v>
      </c>
    </row>
    <row r="27" spans="2:25" ht="15" customHeight="1">
      <c r="B27" s="1398"/>
      <c r="C27" s="1401"/>
      <c r="D27" s="1399"/>
      <c r="E27" s="1399"/>
      <c r="F27" s="1399"/>
      <c r="G27" s="1398"/>
      <c r="H27" s="1398"/>
      <c r="I27" s="1399"/>
      <c r="J27" s="1400"/>
      <c r="K27" s="1400"/>
      <c r="L27" s="1400"/>
      <c r="M27" s="150">
        <f t="shared" si="0"/>
        <v>0</v>
      </c>
      <c r="N27" s="151">
        <f t="shared" si="1"/>
        <v>0</v>
      </c>
      <c r="O27" s="152">
        <f>+IF(OR($R27=Parametres!$G$2,$R27=Parametres!$G$3),J27,D27)</f>
        <v>0</v>
      </c>
      <c r="P27" s="1085">
        <f>+IF(OR($R27=Parametres!$G$2,$R27=Parametres!$G$3),K27,E27)</f>
        <v>0</v>
      </c>
      <c r="Q27" s="152">
        <f>+IF(OR($R27=Parametres!$G$2,$R27=Parametres!$G$3),L27,F27)</f>
        <v>0</v>
      </c>
      <c r="R27" s="151">
        <f t="shared" si="2"/>
        <v>0</v>
      </c>
      <c r="S27" s="150">
        <f t="shared" si="3"/>
        <v>0</v>
      </c>
      <c r="T27" s="151">
        <f t="shared" si="4"/>
        <v>0</v>
      </c>
      <c r="U27" s="153" t="e">
        <f>+VLOOKUP($M27,Data_Validation!$A:$D,1,0)</f>
        <v>#N/A</v>
      </c>
      <c r="V27" s="153" t="e">
        <f>+VLOOKUP($M27,Data_Validation!$A:$D,3,0)</f>
        <v>#N/A</v>
      </c>
      <c r="W27" s="153" t="e">
        <f>+VLOOKUP($M27,Data_Validation!$A:$D,4,0)</f>
        <v>#N/A</v>
      </c>
      <c r="X27" s="153" t="e">
        <f>+VLOOKUP($M27,Data_Validation!$A:$E,5,0)</f>
        <v>#N/A</v>
      </c>
      <c r="Y27" s="153" t="e">
        <f>+VLOOKUP($M27,Data_Validation!$A:$F,6,0)</f>
        <v>#N/A</v>
      </c>
    </row>
    <row r="28" spans="2:25" ht="15" customHeight="1">
      <c r="B28" s="1398"/>
      <c r="C28" s="1401"/>
      <c r="D28" s="1399"/>
      <c r="E28" s="1399"/>
      <c r="F28" s="1399"/>
      <c r="G28" s="1398"/>
      <c r="H28" s="1398"/>
      <c r="I28" s="1399"/>
      <c r="J28" s="1400"/>
      <c r="K28" s="1400"/>
      <c r="L28" s="1400"/>
      <c r="M28" s="150">
        <f t="shared" si="0"/>
        <v>0</v>
      </c>
      <c r="N28" s="151">
        <f t="shared" si="1"/>
        <v>0</v>
      </c>
      <c r="O28" s="152">
        <f>+IF(OR($R28=Parametres!$G$2,$R28=Parametres!$G$3),J28,D28)</f>
        <v>0</v>
      </c>
      <c r="P28" s="1085">
        <f>+IF(OR($R28=Parametres!$G$2,$R28=Parametres!$G$3),K28,E28)</f>
        <v>0</v>
      </c>
      <c r="Q28" s="152">
        <f>+IF(OR($R28=Parametres!$G$2,$R28=Parametres!$G$3),L28,F28)</f>
        <v>0</v>
      </c>
      <c r="R28" s="151">
        <f t="shared" si="2"/>
        <v>0</v>
      </c>
      <c r="S28" s="150">
        <f t="shared" si="3"/>
        <v>0</v>
      </c>
      <c r="T28" s="151">
        <f t="shared" si="4"/>
        <v>0</v>
      </c>
      <c r="U28" s="153" t="e">
        <f>+VLOOKUP($M28,Data_Validation!$A:$D,1,0)</f>
        <v>#N/A</v>
      </c>
      <c r="V28" s="153" t="e">
        <f>+VLOOKUP($M28,Data_Validation!$A:$D,3,0)</f>
        <v>#N/A</v>
      </c>
      <c r="W28" s="153" t="e">
        <f>+VLOOKUP($M28,Data_Validation!$A:$D,4,0)</f>
        <v>#N/A</v>
      </c>
      <c r="X28" s="153" t="e">
        <f>+VLOOKUP($M28,Data_Validation!$A:$E,5,0)</f>
        <v>#N/A</v>
      </c>
      <c r="Y28" s="153" t="e">
        <f>+VLOOKUP($M28,Data_Validation!$A:$F,6,0)</f>
        <v>#N/A</v>
      </c>
    </row>
    <row r="29" spans="2:25" ht="15" customHeight="1">
      <c r="B29" s="1398"/>
      <c r="C29" s="1401"/>
      <c r="D29" s="1399"/>
      <c r="E29" s="1399"/>
      <c r="F29" s="1399"/>
      <c r="G29" s="1398"/>
      <c r="H29" s="1398"/>
      <c r="I29" s="1399"/>
      <c r="J29" s="1400"/>
      <c r="K29" s="1400"/>
      <c r="L29" s="1400"/>
      <c r="M29" s="150">
        <f t="shared" si="0"/>
        <v>0</v>
      </c>
      <c r="N29" s="151">
        <f t="shared" si="1"/>
        <v>0</v>
      </c>
      <c r="O29" s="152">
        <f>+IF(OR($R29=Parametres!$G$2,$R29=Parametres!$G$3),J29,D29)</f>
        <v>0</v>
      </c>
      <c r="P29" s="1085">
        <f>+IF(OR($R29=Parametres!$G$2,$R29=Parametres!$G$3),K29,E29)</f>
        <v>0</v>
      </c>
      <c r="Q29" s="152">
        <f>+IF(OR($R29=Parametres!$G$2,$R29=Parametres!$G$3),L29,F29)</f>
        <v>0</v>
      </c>
      <c r="R29" s="151">
        <f t="shared" si="2"/>
        <v>0</v>
      </c>
      <c r="S29" s="150">
        <f t="shared" si="3"/>
        <v>0</v>
      </c>
      <c r="T29" s="151">
        <f t="shared" si="4"/>
        <v>0</v>
      </c>
      <c r="U29" s="153" t="e">
        <f>+VLOOKUP($M29,Data_Validation!$A:$D,1,0)</f>
        <v>#N/A</v>
      </c>
      <c r="V29" s="153" t="e">
        <f>+VLOOKUP($M29,Data_Validation!$A:$D,3,0)</f>
        <v>#N/A</v>
      </c>
      <c r="W29" s="153" t="e">
        <f>+VLOOKUP($M29,Data_Validation!$A:$D,4,0)</f>
        <v>#N/A</v>
      </c>
      <c r="X29" s="153" t="e">
        <f>+VLOOKUP($M29,Data_Validation!$A:$E,5,0)</f>
        <v>#N/A</v>
      </c>
      <c r="Y29" s="153" t="e">
        <f>+VLOOKUP($M29,Data_Validation!$A:$F,6,0)</f>
        <v>#N/A</v>
      </c>
    </row>
    <row r="30" spans="2:25" ht="15" customHeight="1">
      <c r="B30" s="1398"/>
      <c r="C30" s="1401"/>
      <c r="D30" s="1399"/>
      <c r="E30" s="1399"/>
      <c r="F30" s="1399"/>
      <c r="G30" s="1398"/>
      <c r="H30" s="1398"/>
      <c r="I30" s="1399"/>
      <c r="J30" s="1400"/>
      <c r="K30" s="1400"/>
      <c r="L30" s="1400"/>
      <c r="M30" s="150">
        <f t="shared" si="0"/>
        <v>0</v>
      </c>
      <c r="N30" s="151">
        <f t="shared" si="1"/>
        <v>0</v>
      </c>
      <c r="O30" s="152">
        <f>+IF(OR($R30=Parametres!$G$2,$R30=Parametres!$G$3),J30,D30)</f>
        <v>0</v>
      </c>
      <c r="P30" s="1083">
        <f>+IF(OR($R30=Parametres!$G$2,$R30=Parametres!$G$3),K30,E30)</f>
        <v>0</v>
      </c>
      <c r="Q30" s="152">
        <f>+IF(OR($R30=Parametres!$G$2,$R30=Parametres!$G$3),L30,F30)</f>
        <v>0</v>
      </c>
      <c r="R30" s="151">
        <f t="shared" si="2"/>
        <v>0</v>
      </c>
      <c r="S30" s="150">
        <f t="shared" si="3"/>
        <v>0</v>
      </c>
      <c r="T30" s="151">
        <f t="shared" si="4"/>
        <v>0</v>
      </c>
      <c r="U30" s="153" t="e">
        <f>+VLOOKUP($M30,Data_Validation!$A:$D,1,0)</f>
        <v>#N/A</v>
      </c>
      <c r="V30" s="153" t="e">
        <f>+VLOOKUP($M30,Data_Validation!$A:$D,3,0)</f>
        <v>#N/A</v>
      </c>
      <c r="W30" s="153" t="e">
        <f>+VLOOKUP($M30,Data_Validation!$A:$D,4,0)</f>
        <v>#N/A</v>
      </c>
      <c r="X30" s="153" t="e">
        <f>+VLOOKUP($M30,Data_Validation!$A:$E,5,0)</f>
        <v>#N/A</v>
      </c>
      <c r="Y30" s="153" t="e">
        <f>+VLOOKUP($M30,Data_Validation!$A:$F,6,0)</f>
        <v>#N/A</v>
      </c>
    </row>
    <row r="31" spans="2:25" ht="15" customHeight="1">
      <c r="B31" s="1398"/>
      <c r="C31" s="1401"/>
      <c r="D31" s="1399"/>
      <c r="E31" s="1399"/>
      <c r="F31" s="1399"/>
      <c r="G31" s="1398"/>
      <c r="H31" s="1398"/>
      <c r="I31" s="1399"/>
      <c r="J31" s="1400"/>
      <c r="K31" s="1400"/>
      <c r="L31" s="1400"/>
      <c r="M31" s="150">
        <f t="shared" si="0"/>
        <v>0</v>
      </c>
      <c r="N31" s="151">
        <f t="shared" si="1"/>
        <v>0</v>
      </c>
      <c r="O31" s="152">
        <f>+IF(OR($R31=Parametres!$G$2,$R31=Parametres!$G$3),J31,D31)</f>
        <v>0</v>
      </c>
      <c r="P31" s="1085">
        <f>+IF(OR($R31=Parametres!$G$2,$R31=Parametres!$G$3),K31,E31)</f>
        <v>0</v>
      </c>
      <c r="Q31" s="152">
        <f>+IF(OR($R31=Parametres!$G$2,$R31=Parametres!$G$3),L31,F31)</f>
        <v>0</v>
      </c>
      <c r="R31" s="151">
        <f t="shared" si="2"/>
        <v>0</v>
      </c>
      <c r="S31" s="150">
        <f t="shared" si="3"/>
        <v>0</v>
      </c>
      <c r="T31" s="151">
        <f t="shared" si="4"/>
        <v>0</v>
      </c>
      <c r="U31" s="153" t="e">
        <f>+VLOOKUP($M31,Data_Validation!$A:$D,1,0)</f>
        <v>#N/A</v>
      </c>
      <c r="V31" s="153" t="e">
        <f>+VLOOKUP($M31,Data_Validation!$A:$D,3,0)</f>
        <v>#N/A</v>
      </c>
      <c r="W31" s="153" t="e">
        <f>+VLOOKUP($M31,Data_Validation!$A:$D,4,0)</f>
        <v>#N/A</v>
      </c>
      <c r="X31" s="153" t="e">
        <f>+VLOOKUP($M31,Data_Validation!$A:$E,5,0)</f>
        <v>#N/A</v>
      </c>
      <c r="Y31" s="153" t="e">
        <f>+VLOOKUP($M31,Data_Validation!$A:$F,6,0)</f>
        <v>#N/A</v>
      </c>
    </row>
    <row r="32" spans="2:25" ht="15" customHeight="1">
      <c r="B32" s="1398"/>
      <c r="C32" s="1401"/>
      <c r="D32" s="1399"/>
      <c r="E32" s="1399"/>
      <c r="F32" s="1399"/>
      <c r="G32" s="1398"/>
      <c r="H32" s="1398"/>
      <c r="I32" s="1399"/>
      <c r="J32" s="1400"/>
      <c r="K32" s="1400"/>
      <c r="L32" s="1400"/>
      <c r="M32" s="150">
        <f t="shared" si="0"/>
        <v>0</v>
      </c>
      <c r="N32" s="151">
        <f t="shared" si="1"/>
        <v>0</v>
      </c>
      <c r="O32" s="152">
        <f>+IF(OR($R32=Parametres!$G$2,$R32=Parametres!$G$3),J32,D32)</f>
        <v>0</v>
      </c>
      <c r="P32" s="1086">
        <f>+IF(OR($R32=Parametres!$G$2,$R32=Parametres!$G$3),K32,E32)</f>
        <v>0</v>
      </c>
      <c r="Q32" s="152">
        <f>+IF(OR($R32=Parametres!$G$2,$R32=Parametres!$G$3),L32,F32)</f>
        <v>0</v>
      </c>
      <c r="R32" s="151">
        <f t="shared" si="2"/>
        <v>0</v>
      </c>
      <c r="S32" s="150">
        <f t="shared" si="3"/>
        <v>0</v>
      </c>
      <c r="T32" s="151">
        <f t="shared" si="4"/>
        <v>0</v>
      </c>
      <c r="U32" s="153" t="e">
        <f>+VLOOKUP($M32,Data_Validation!$A:$D,1,0)</f>
        <v>#N/A</v>
      </c>
      <c r="V32" s="153" t="e">
        <f>+VLOOKUP($M32,Data_Validation!$A:$D,3,0)</f>
        <v>#N/A</v>
      </c>
      <c r="W32" s="153" t="e">
        <f>+VLOOKUP($M32,Data_Validation!$A:$D,4,0)</f>
        <v>#N/A</v>
      </c>
      <c r="X32" s="153" t="e">
        <f>+VLOOKUP($M32,Data_Validation!$A:$E,5,0)</f>
        <v>#N/A</v>
      </c>
      <c r="Y32" s="153" t="e">
        <f>+VLOOKUP($M32,Data_Validation!$A:$F,6,0)</f>
        <v>#N/A</v>
      </c>
    </row>
    <row r="33" spans="2:25" ht="15" customHeight="1">
      <c r="B33" s="1398"/>
      <c r="C33" s="1401"/>
      <c r="D33" s="1399"/>
      <c r="E33" s="1399"/>
      <c r="F33" s="1399"/>
      <c r="G33" s="1398"/>
      <c r="H33" s="1398"/>
      <c r="I33" s="1399"/>
      <c r="J33" s="1400"/>
      <c r="K33" s="1400"/>
      <c r="L33" s="1400"/>
      <c r="M33" s="150">
        <f t="shared" si="0"/>
        <v>0</v>
      </c>
      <c r="N33" s="151">
        <f t="shared" si="1"/>
        <v>0</v>
      </c>
      <c r="O33" s="152">
        <f>+IF(OR($R33=Parametres!$G$2,$R33=Parametres!$G$3),J33,D33)</f>
        <v>0</v>
      </c>
      <c r="P33" s="1085">
        <f>+IF(OR($R33=Parametres!$G$2,$R33=Parametres!$G$3),K33,E33)</f>
        <v>0</v>
      </c>
      <c r="Q33" s="152">
        <f>+IF(OR($R33=Parametres!$G$2,$R33=Parametres!$G$3),L33,F33)</f>
        <v>0</v>
      </c>
      <c r="R33" s="151">
        <f t="shared" si="2"/>
        <v>0</v>
      </c>
      <c r="S33" s="150">
        <f t="shared" si="3"/>
        <v>0</v>
      </c>
      <c r="T33" s="151">
        <f t="shared" si="4"/>
        <v>0</v>
      </c>
      <c r="U33" s="153" t="e">
        <f>+VLOOKUP($M33,Data_Validation!$A:$D,1,0)</f>
        <v>#N/A</v>
      </c>
      <c r="V33" s="153" t="e">
        <f>+VLOOKUP($M33,Data_Validation!$A:$D,3,0)</f>
        <v>#N/A</v>
      </c>
      <c r="W33" s="153" t="e">
        <f>+VLOOKUP($M33,Data_Validation!$A:$D,4,0)</f>
        <v>#N/A</v>
      </c>
      <c r="X33" s="153" t="e">
        <f>+VLOOKUP($M33,Data_Validation!$A:$E,5,0)</f>
        <v>#N/A</v>
      </c>
      <c r="Y33" s="153" t="e">
        <f>+VLOOKUP($M33,Data_Validation!$A:$F,6,0)</f>
        <v>#N/A</v>
      </c>
    </row>
    <row r="34" spans="2:25" ht="15.75" customHeight="1">
      <c r="B34" s="1398"/>
      <c r="C34" s="1401"/>
      <c r="D34" s="1399"/>
      <c r="E34" s="1399"/>
      <c r="F34" s="1399"/>
      <c r="G34" s="1398"/>
      <c r="H34" s="1398"/>
      <c r="I34" s="1399"/>
      <c r="J34" s="1400"/>
      <c r="K34" s="1400"/>
      <c r="L34" s="1400"/>
      <c r="M34" s="150">
        <f t="shared" si="0"/>
        <v>0</v>
      </c>
      <c r="N34" s="151">
        <f t="shared" si="1"/>
        <v>0</v>
      </c>
      <c r="O34" s="152">
        <f>+IF(OR($R34=Parametres!$G$2,$R34=Parametres!$G$3),J34,D34)</f>
        <v>0</v>
      </c>
      <c r="P34" s="1085">
        <f>+IF(OR($R34=Parametres!$G$2,$R34=Parametres!$G$3),K34,E34)</f>
        <v>0</v>
      </c>
      <c r="Q34" s="152">
        <f>+IF(OR($R34=Parametres!$G$2,$R34=Parametres!$G$3),L34,F34)</f>
        <v>0</v>
      </c>
      <c r="R34" s="151">
        <f t="shared" si="2"/>
        <v>0</v>
      </c>
      <c r="S34" s="150">
        <f t="shared" si="3"/>
        <v>0</v>
      </c>
      <c r="T34" s="151">
        <f t="shared" si="4"/>
        <v>0</v>
      </c>
      <c r="U34" s="153" t="e">
        <f>+VLOOKUP($M34,Data_Validation!$A:$D,1,0)</f>
        <v>#N/A</v>
      </c>
      <c r="V34" s="153" t="e">
        <f>+VLOOKUP($M34,Data_Validation!$A:$D,3,0)</f>
        <v>#N/A</v>
      </c>
      <c r="W34" s="153" t="e">
        <f>+VLOOKUP($M34,Data_Validation!$A:$D,4,0)</f>
        <v>#N/A</v>
      </c>
      <c r="X34" s="153" t="e">
        <f>+VLOOKUP($M34,Data_Validation!$A:$E,5,0)</f>
        <v>#N/A</v>
      </c>
      <c r="Y34" s="153" t="e">
        <f>+VLOOKUP($M34,Data_Validation!$A:$F,6,0)</f>
        <v>#N/A</v>
      </c>
    </row>
    <row r="35" spans="2:25" ht="15" customHeight="1">
      <c r="B35" s="1398"/>
      <c r="C35" s="1401"/>
      <c r="D35" s="1399"/>
      <c r="E35" s="1399"/>
      <c r="F35" s="1399"/>
      <c r="G35" s="1398"/>
      <c r="H35" s="1398"/>
      <c r="I35" s="1399"/>
      <c r="J35" s="1400"/>
      <c r="K35" s="1400"/>
      <c r="L35" s="1400"/>
      <c r="M35" s="150">
        <f t="shared" si="0"/>
        <v>0</v>
      </c>
      <c r="N35" s="151">
        <f t="shared" si="1"/>
        <v>0</v>
      </c>
      <c r="O35" s="152">
        <f>+IF(OR($R35=Parametres!$G$2,$R35=Parametres!$G$3),J35,D35)</f>
        <v>0</v>
      </c>
      <c r="P35" s="1085">
        <f>+IF(OR($R35=Parametres!$G$2,$R35=Parametres!$G$3),K35,E35)</f>
        <v>0</v>
      </c>
      <c r="Q35" s="152">
        <f>+IF(OR($R35=Parametres!$G$2,$R35=Parametres!$G$3),L35,F35)</f>
        <v>0</v>
      </c>
      <c r="R35" s="151">
        <f t="shared" si="2"/>
        <v>0</v>
      </c>
      <c r="S35" s="150">
        <f t="shared" si="3"/>
        <v>0</v>
      </c>
      <c r="T35" s="151">
        <f t="shared" si="4"/>
        <v>0</v>
      </c>
      <c r="U35" s="153" t="e">
        <f>+VLOOKUP($M35,Data_Validation!$A:$D,1,0)</f>
        <v>#N/A</v>
      </c>
      <c r="V35" s="153" t="e">
        <f>+VLOOKUP($M35,Data_Validation!$A:$D,3,0)</f>
        <v>#N/A</v>
      </c>
      <c r="W35" s="153" t="e">
        <f>+VLOOKUP($M35,Data_Validation!$A:$D,4,0)</f>
        <v>#N/A</v>
      </c>
      <c r="X35" s="153" t="e">
        <f>+VLOOKUP($M35,Data_Validation!$A:$E,5,0)</f>
        <v>#N/A</v>
      </c>
      <c r="Y35" s="153" t="e">
        <f>+VLOOKUP($M35,Data_Validation!$A:$F,6,0)</f>
        <v>#N/A</v>
      </c>
    </row>
    <row r="36" spans="2:25" ht="15" customHeight="1">
      <c r="B36" s="1398"/>
      <c r="C36" s="1401"/>
      <c r="D36" s="1399"/>
      <c r="E36" s="1399"/>
      <c r="F36" s="1399"/>
      <c r="G36" s="1398"/>
      <c r="H36" s="1398"/>
      <c r="I36" s="1399"/>
      <c r="J36" s="1400"/>
      <c r="K36" s="1400"/>
      <c r="L36" s="1400"/>
      <c r="M36" s="150">
        <f t="shared" si="0"/>
        <v>0</v>
      </c>
      <c r="N36" s="151">
        <f t="shared" si="1"/>
        <v>0</v>
      </c>
      <c r="O36" s="152">
        <f>+IF(OR($R36=Parametres!$G$2,$R36=Parametres!$G$3),J36,D36)</f>
        <v>0</v>
      </c>
      <c r="P36" s="1085">
        <f>+IF(OR($R36=Parametres!$G$2,$R36=Parametres!$G$3),K36,E36)</f>
        <v>0</v>
      </c>
      <c r="Q36" s="152">
        <f>+IF(OR($R36=Parametres!$G$2,$R36=Parametres!$G$3),L36,F36)</f>
        <v>0</v>
      </c>
      <c r="R36" s="151">
        <f t="shared" si="2"/>
        <v>0</v>
      </c>
      <c r="S36" s="150">
        <f t="shared" si="3"/>
        <v>0</v>
      </c>
      <c r="T36" s="151">
        <f t="shared" si="4"/>
        <v>0</v>
      </c>
      <c r="U36" s="153" t="e">
        <f>+VLOOKUP($M36,Data_Validation!$A:$D,1,0)</f>
        <v>#N/A</v>
      </c>
      <c r="V36" s="153" t="e">
        <f>+VLOOKUP($M36,Data_Validation!$A:$D,3,0)</f>
        <v>#N/A</v>
      </c>
      <c r="W36" s="153" t="e">
        <f>+VLOOKUP($M36,Data_Validation!$A:$D,4,0)</f>
        <v>#N/A</v>
      </c>
      <c r="X36" s="153" t="e">
        <f>+VLOOKUP($M36,Data_Validation!$A:$E,5,0)</f>
        <v>#N/A</v>
      </c>
      <c r="Y36" s="153" t="e">
        <f>+VLOOKUP($M36,Data_Validation!$A:$F,6,0)</f>
        <v>#N/A</v>
      </c>
    </row>
    <row r="37" spans="2:25" ht="15" customHeight="1">
      <c r="B37" s="1398"/>
      <c r="C37" s="1401"/>
      <c r="D37" s="1399"/>
      <c r="E37" s="1399"/>
      <c r="F37" s="1399"/>
      <c r="G37" s="1398"/>
      <c r="H37" s="1398"/>
      <c r="I37" s="1399"/>
      <c r="J37" s="1400"/>
      <c r="K37" s="1400"/>
      <c r="L37" s="1400"/>
      <c r="M37" s="150">
        <f t="shared" si="0"/>
        <v>0</v>
      </c>
      <c r="N37" s="151">
        <f t="shared" si="1"/>
        <v>0</v>
      </c>
      <c r="O37" s="152">
        <f>+IF(OR($R37=Parametres!$G$2,$R37=Parametres!$G$3),J37,D37)</f>
        <v>0</v>
      </c>
      <c r="P37" s="1085">
        <f>+IF(OR($R37=Parametres!$G$2,$R37=Parametres!$G$3),K37,E37)</f>
        <v>0</v>
      </c>
      <c r="Q37" s="152">
        <f>+IF(OR($R37=Parametres!$G$2,$R37=Parametres!$G$3),L37,F37)</f>
        <v>0</v>
      </c>
      <c r="R37" s="151">
        <f t="shared" si="2"/>
        <v>0</v>
      </c>
      <c r="S37" s="150">
        <f t="shared" si="3"/>
        <v>0</v>
      </c>
      <c r="T37" s="151">
        <f t="shared" si="4"/>
        <v>0</v>
      </c>
      <c r="U37" s="153" t="e">
        <f>+VLOOKUP($M37,Data_Validation!$A:$D,1,0)</f>
        <v>#N/A</v>
      </c>
      <c r="V37" s="153" t="e">
        <f>+VLOOKUP($M37,Data_Validation!$A:$D,3,0)</f>
        <v>#N/A</v>
      </c>
      <c r="W37" s="153" t="e">
        <f>+VLOOKUP($M37,Data_Validation!$A:$D,4,0)</f>
        <v>#N/A</v>
      </c>
      <c r="X37" s="153" t="e">
        <f>+VLOOKUP($M37,Data_Validation!$A:$E,5,0)</f>
        <v>#N/A</v>
      </c>
      <c r="Y37" s="153" t="e">
        <f>+VLOOKUP($M37,Data_Validation!$A:$F,6,0)</f>
        <v>#N/A</v>
      </c>
    </row>
    <row r="38" spans="2:25" ht="15" customHeight="1">
      <c r="B38" s="1398"/>
      <c r="C38" s="1401"/>
      <c r="D38" s="1399"/>
      <c r="E38" s="1399"/>
      <c r="F38" s="1399"/>
      <c r="G38" s="1398"/>
      <c r="H38" s="1398"/>
      <c r="I38" s="1399"/>
      <c r="J38" s="1400"/>
      <c r="K38" s="1400"/>
      <c r="L38" s="1400"/>
      <c r="M38" s="150">
        <f t="shared" si="0"/>
        <v>0</v>
      </c>
      <c r="N38" s="151">
        <f t="shared" si="1"/>
        <v>0</v>
      </c>
      <c r="O38" s="152">
        <f>+IF(OR($R38=Parametres!$G$2,$R38=Parametres!$G$3),J38,D38)</f>
        <v>0</v>
      </c>
      <c r="P38" s="1085">
        <f>+IF(OR($R38=Parametres!$G$2,$R38=Parametres!$G$3),K38,E38)</f>
        <v>0</v>
      </c>
      <c r="Q38" s="152">
        <f>+IF(OR($R38=Parametres!$G$2,$R38=Parametres!$G$3),L38,F38)</f>
        <v>0</v>
      </c>
      <c r="R38" s="151">
        <f t="shared" si="2"/>
        <v>0</v>
      </c>
      <c r="S38" s="150">
        <f t="shared" si="3"/>
        <v>0</v>
      </c>
      <c r="T38" s="151">
        <f t="shared" si="4"/>
        <v>0</v>
      </c>
      <c r="U38" s="153" t="e">
        <f>+VLOOKUP($M38,Data_Validation!$A:$D,1,0)</f>
        <v>#N/A</v>
      </c>
      <c r="V38" s="153" t="e">
        <f>+VLOOKUP($M38,Data_Validation!$A:$D,3,0)</f>
        <v>#N/A</v>
      </c>
      <c r="W38" s="153" t="e">
        <f>+VLOOKUP($M38,Data_Validation!$A:$D,4,0)</f>
        <v>#N/A</v>
      </c>
      <c r="X38" s="153" t="e">
        <f>+VLOOKUP($M38,Data_Validation!$A:$E,5,0)</f>
        <v>#N/A</v>
      </c>
      <c r="Y38" s="153" t="e">
        <f>+VLOOKUP($M38,Data_Validation!$A:$F,6,0)</f>
        <v>#N/A</v>
      </c>
    </row>
    <row r="39" spans="2:25" ht="15" customHeight="1">
      <c r="B39" s="1398"/>
      <c r="C39" s="1401"/>
      <c r="D39" s="1399"/>
      <c r="E39" s="1399"/>
      <c r="F39" s="1399"/>
      <c r="G39" s="1398"/>
      <c r="H39" s="1398"/>
      <c r="I39" s="1399"/>
      <c r="J39" s="1400"/>
      <c r="K39" s="1400"/>
      <c r="L39" s="1400"/>
      <c r="M39" s="150">
        <f t="shared" si="0"/>
        <v>0</v>
      </c>
      <c r="N39" s="151">
        <f t="shared" si="1"/>
        <v>0</v>
      </c>
      <c r="O39" s="152">
        <f>+IF(OR($R39=Parametres!$G$2,$R39=Parametres!$G$3),J39,D39)</f>
        <v>0</v>
      </c>
      <c r="P39" s="1083">
        <f>+IF(OR($R39=Parametres!$G$2,$R39=Parametres!$G$3),K39,E39)</f>
        <v>0</v>
      </c>
      <c r="Q39" s="152">
        <f>+IF(OR($R39=Parametres!$G$2,$R39=Parametres!$G$3),L39,F39)</f>
        <v>0</v>
      </c>
      <c r="R39" s="151">
        <f t="shared" si="2"/>
        <v>0</v>
      </c>
      <c r="S39" s="150">
        <f t="shared" si="3"/>
        <v>0</v>
      </c>
      <c r="T39" s="151">
        <f t="shared" si="4"/>
        <v>0</v>
      </c>
      <c r="U39" s="153" t="e">
        <f>+VLOOKUP($M39,Data_Validation!$A:$D,1,0)</f>
        <v>#N/A</v>
      </c>
      <c r="V39" s="153" t="e">
        <f>+VLOOKUP($M39,Data_Validation!$A:$D,3,0)</f>
        <v>#N/A</v>
      </c>
      <c r="W39" s="153" t="e">
        <f>+VLOOKUP($M39,Data_Validation!$A:$D,4,0)</f>
        <v>#N/A</v>
      </c>
      <c r="X39" s="153" t="e">
        <f>+VLOOKUP($M39,Data_Validation!$A:$E,5,0)</f>
        <v>#N/A</v>
      </c>
      <c r="Y39" s="153" t="e">
        <f>+VLOOKUP($M39,Data_Validation!$A:$F,6,0)</f>
        <v>#N/A</v>
      </c>
    </row>
    <row r="40" spans="2:25" ht="15.75" customHeight="1">
      <c r="B40" s="1398"/>
      <c r="C40" s="1401"/>
      <c r="D40" s="1399"/>
      <c r="E40" s="1399"/>
      <c r="F40" s="1399"/>
      <c r="G40" s="1398"/>
      <c r="H40" s="1398"/>
      <c r="I40" s="1399"/>
      <c r="J40" s="1400"/>
      <c r="K40" s="1400"/>
      <c r="L40" s="1400"/>
      <c r="M40" s="150">
        <f t="shared" si="0"/>
        <v>0</v>
      </c>
      <c r="N40" s="151">
        <f t="shared" si="1"/>
        <v>0</v>
      </c>
      <c r="O40" s="152">
        <f>+IF(OR($R40=Parametres!$G$2,$R40=Parametres!$G$3),J40,D40)</f>
        <v>0</v>
      </c>
      <c r="P40" s="1085">
        <f>+IF(OR($R40=Parametres!$G$2,$R40=Parametres!$G$3),K40,E40)</f>
        <v>0</v>
      </c>
      <c r="Q40" s="152">
        <f>+IF(OR($R40=Parametres!$G$2,$R40=Parametres!$G$3),L40,F40)</f>
        <v>0</v>
      </c>
      <c r="R40" s="151">
        <f t="shared" si="2"/>
        <v>0</v>
      </c>
      <c r="S40" s="150">
        <f t="shared" si="3"/>
        <v>0</v>
      </c>
      <c r="T40" s="151">
        <f t="shared" si="4"/>
        <v>0</v>
      </c>
      <c r="U40" s="153" t="e">
        <f>+VLOOKUP($M40,Data_Validation!$A:$D,1,0)</f>
        <v>#N/A</v>
      </c>
      <c r="V40" s="153" t="e">
        <f>+VLOOKUP($M40,Data_Validation!$A:$D,3,0)</f>
        <v>#N/A</v>
      </c>
      <c r="W40" s="153" t="e">
        <f>+VLOOKUP($M40,Data_Validation!$A:$D,4,0)</f>
        <v>#N/A</v>
      </c>
      <c r="X40" s="153" t="e">
        <f>+VLOOKUP($M40,Data_Validation!$A:$E,5,0)</f>
        <v>#N/A</v>
      </c>
      <c r="Y40" s="153" t="e">
        <f>+VLOOKUP($M40,Data_Validation!$A:$F,6,0)</f>
        <v>#N/A</v>
      </c>
    </row>
    <row r="41" spans="2:25" ht="15" customHeight="1">
      <c r="B41" s="1398"/>
      <c r="C41" s="1401"/>
      <c r="D41" s="1399"/>
      <c r="E41" s="1399"/>
      <c r="F41" s="1399"/>
      <c r="G41" s="1398"/>
      <c r="H41" s="1398"/>
      <c r="I41" s="1399"/>
      <c r="J41" s="1400"/>
      <c r="K41" s="1400"/>
      <c r="L41" s="1400"/>
      <c r="M41" s="150">
        <f t="shared" si="0"/>
        <v>0</v>
      </c>
      <c r="N41" s="151">
        <f t="shared" si="1"/>
        <v>0</v>
      </c>
      <c r="O41" s="152">
        <f>+IF(OR($R41=Parametres!$G$2,$R41=Parametres!$G$3),J41,D41)</f>
        <v>0</v>
      </c>
      <c r="P41" s="1083">
        <f>+IF(OR($R41=Parametres!$G$2,$R41=Parametres!$G$3),K41,E41)</f>
        <v>0</v>
      </c>
      <c r="Q41" s="152">
        <f>+IF(OR($R41=Parametres!$G$2,$R41=Parametres!$G$3),L41,F41)</f>
        <v>0</v>
      </c>
      <c r="R41" s="151">
        <f t="shared" si="2"/>
        <v>0</v>
      </c>
      <c r="S41" s="150">
        <f t="shared" si="3"/>
        <v>0</v>
      </c>
      <c r="T41" s="151">
        <f t="shared" si="4"/>
        <v>0</v>
      </c>
      <c r="U41" s="153" t="e">
        <f>+VLOOKUP($M41,Data_Validation!$A:$D,1,0)</f>
        <v>#N/A</v>
      </c>
      <c r="V41" s="153" t="e">
        <f>+VLOOKUP($M41,Data_Validation!$A:$D,3,0)</f>
        <v>#N/A</v>
      </c>
      <c r="W41" s="153" t="e">
        <f>+VLOOKUP($M41,Data_Validation!$A:$D,4,0)</f>
        <v>#N/A</v>
      </c>
      <c r="X41" s="153" t="e">
        <f>+VLOOKUP($M41,Data_Validation!$A:$E,5,0)</f>
        <v>#N/A</v>
      </c>
      <c r="Y41" s="153" t="e">
        <f>+VLOOKUP($M41,Data_Validation!$A:$F,6,0)</f>
        <v>#N/A</v>
      </c>
    </row>
    <row r="42" spans="2:25" ht="15" customHeight="1">
      <c r="B42" s="1398"/>
      <c r="C42" s="1401"/>
      <c r="D42" s="1399"/>
      <c r="E42" s="1399"/>
      <c r="F42" s="1399"/>
      <c r="G42" s="1398"/>
      <c r="H42" s="1398"/>
      <c r="I42" s="1399"/>
      <c r="J42" s="1400"/>
      <c r="K42" s="1400"/>
      <c r="L42" s="1400"/>
      <c r="M42" s="150">
        <f t="shared" si="0"/>
        <v>0</v>
      </c>
      <c r="N42" s="151">
        <f t="shared" si="1"/>
        <v>0</v>
      </c>
      <c r="O42" s="152">
        <f>+IF(OR($R42=Parametres!$G$2,$R42=Parametres!$G$3),J42,D42)</f>
        <v>0</v>
      </c>
      <c r="P42" s="1085">
        <f>+IF(OR($R42=Parametres!$G$2,$R42=Parametres!$G$3),K42,E42)</f>
        <v>0</v>
      </c>
      <c r="Q42" s="152">
        <f>+IF(OR($R42=Parametres!$G$2,$R42=Parametres!$G$3),L42,F42)</f>
        <v>0</v>
      </c>
      <c r="R42" s="151">
        <f t="shared" si="2"/>
        <v>0</v>
      </c>
      <c r="S42" s="150">
        <f t="shared" si="3"/>
        <v>0</v>
      </c>
      <c r="T42" s="151">
        <f t="shared" si="4"/>
        <v>0</v>
      </c>
      <c r="U42" s="153" t="e">
        <f>+VLOOKUP($M42,Data_Validation!$A:$D,1,0)</f>
        <v>#N/A</v>
      </c>
      <c r="V42" s="153" t="e">
        <f>+VLOOKUP($M42,Data_Validation!$A:$D,3,0)</f>
        <v>#N/A</v>
      </c>
      <c r="W42" s="153" t="e">
        <f>+VLOOKUP($M42,Data_Validation!$A:$D,4,0)</f>
        <v>#N/A</v>
      </c>
      <c r="X42" s="153" t="e">
        <f>+VLOOKUP($M42,Data_Validation!$A:$E,5,0)</f>
        <v>#N/A</v>
      </c>
      <c r="Y42" s="153" t="e">
        <f>+VLOOKUP($M42,Data_Validation!$A:$F,6,0)</f>
        <v>#N/A</v>
      </c>
    </row>
    <row r="43" spans="2:25" ht="15" customHeight="1">
      <c r="B43" s="1398"/>
      <c r="C43" s="1401"/>
      <c r="D43" s="1399"/>
      <c r="E43" s="1399"/>
      <c r="F43" s="1399"/>
      <c r="G43" s="1398"/>
      <c r="H43" s="1398"/>
      <c r="I43" s="1399"/>
      <c r="J43" s="1400"/>
      <c r="K43" s="1400"/>
      <c r="L43" s="1400"/>
      <c r="M43" s="150">
        <f t="shared" si="0"/>
        <v>0</v>
      </c>
      <c r="N43" s="151">
        <f t="shared" si="1"/>
        <v>0</v>
      </c>
      <c r="O43" s="152">
        <f>+IF(OR($R43=Parametres!$G$2,$R43=Parametres!$G$3),J43,D43)</f>
        <v>0</v>
      </c>
      <c r="P43" s="1085">
        <f>+IF(OR($R43=Parametres!$G$2,$R43=Parametres!$G$3),K43,E43)</f>
        <v>0</v>
      </c>
      <c r="Q43" s="152">
        <f>+IF(OR($R43=Parametres!$G$2,$R43=Parametres!$G$3),L43,F43)</f>
        <v>0</v>
      </c>
      <c r="R43" s="151">
        <f t="shared" si="2"/>
        <v>0</v>
      </c>
      <c r="S43" s="150">
        <f t="shared" si="3"/>
        <v>0</v>
      </c>
      <c r="T43" s="151">
        <f t="shared" si="4"/>
        <v>0</v>
      </c>
      <c r="U43" s="153" t="e">
        <f>+VLOOKUP($M43,Data_Validation!$A:$D,1,0)</f>
        <v>#N/A</v>
      </c>
      <c r="V43" s="153" t="e">
        <f>+VLOOKUP($M43,Data_Validation!$A:$D,3,0)</f>
        <v>#N/A</v>
      </c>
      <c r="W43" s="153" t="e">
        <f>+VLOOKUP($M43,Data_Validation!$A:$D,4,0)</f>
        <v>#N/A</v>
      </c>
      <c r="X43" s="153" t="e">
        <f>+VLOOKUP($M43,Data_Validation!$A:$E,5,0)</f>
        <v>#N/A</v>
      </c>
      <c r="Y43" s="153" t="e">
        <f>+VLOOKUP($M43,Data_Validation!$A:$F,6,0)</f>
        <v>#N/A</v>
      </c>
    </row>
    <row r="44" spans="2:25" ht="15.75" customHeight="1">
      <c r="B44" s="1398"/>
      <c r="C44" s="1401"/>
      <c r="D44" s="1399"/>
      <c r="E44" s="1399"/>
      <c r="F44" s="1399"/>
      <c r="G44" s="1398"/>
      <c r="H44" s="1398"/>
      <c r="I44" s="1399"/>
      <c r="J44" s="1400"/>
      <c r="K44" s="1400"/>
      <c r="L44" s="1400"/>
      <c r="M44" s="150">
        <f t="shared" si="0"/>
        <v>0</v>
      </c>
      <c r="N44" s="151">
        <f t="shared" si="1"/>
        <v>0</v>
      </c>
      <c r="O44" s="152">
        <f>+IF(OR($R44=Parametres!$G$2,$R44=Parametres!$G$3),J44,D44)</f>
        <v>0</v>
      </c>
      <c r="P44" s="1085">
        <f>+IF(OR($R44=Parametres!$G$2,$R44=Parametres!$G$3),K44,E44)</f>
        <v>0</v>
      </c>
      <c r="Q44" s="152">
        <f>+IF(OR($R44=Parametres!$G$2,$R44=Parametres!$G$3),L44,F44)</f>
        <v>0</v>
      </c>
      <c r="R44" s="151">
        <f t="shared" si="2"/>
        <v>0</v>
      </c>
      <c r="S44" s="150">
        <f t="shared" si="3"/>
        <v>0</v>
      </c>
      <c r="T44" s="151">
        <f t="shared" si="4"/>
        <v>0</v>
      </c>
      <c r="U44" s="153" t="e">
        <f>+VLOOKUP($M44,Data_Validation!$A:$D,1,0)</f>
        <v>#N/A</v>
      </c>
      <c r="V44" s="153" t="e">
        <f>+VLOOKUP($M44,Data_Validation!$A:$D,3,0)</f>
        <v>#N/A</v>
      </c>
      <c r="W44" s="153" t="e">
        <f>+VLOOKUP($M44,Data_Validation!$A:$D,4,0)</f>
        <v>#N/A</v>
      </c>
      <c r="X44" s="153" t="e">
        <f>+VLOOKUP($M44,Data_Validation!$A:$E,5,0)</f>
        <v>#N/A</v>
      </c>
      <c r="Y44" s="153" t="e">
        <f>+VLOOKUP($M44,Data_Validation!$A:$F,6,0)</f>
        <v>#N/A</v>
      </c>
    </row>
    <row r="45" spans="2:25" ht="15" customHeight="1">
      <c r="B45" s="1398"/>
      <c r="C45" s="1401"/>
      <c r="D45" s="1399"/>
      <c r="E45" s="1399"/>
      <c r="F45" s="1399"/>
      <c r="G45" s="1398"/>
      <c r="H45" s="1398"/>
      <c r="I45" s="1399"/>
      <c r="J45" s="1400"/>
      <c r="K45" s="1400"/>
      <c r="L45" s="1400"/>
      <c r="M45" s="150">
        <f t="shared" si="0"/>
        <v>0</v>
      </c>
      <c r="N45" s="151">
        <f t="shared" si="1"/>
        <v>0</v>
      </c>
      <c r="O45" s="152">
        <f>+IF(OR($R45=Parametres!$G$2,$R45=Parametres!$G$3),J45,D45)</f>
        <v>0</v>
      </c>
      <c r="P45" s="1085">
        <f>+IF(OR($R45=Parametres!$G$2,$R45=Parametres!$G$3),K45,E45)</f>
        <v>0</v>
      </c>
      <c r="Q45" s="152">
        <f>+IF(OR($R45=Parametres!$G$2,$R45=Parametres!$G$3),L45,F45)</f>
        <v>0</v>
      </c>
      <c r="R45" s="151">
        <f t="shared" si="2"/>
        <v>0</v>
      </c>
      <c r="S45" s="150">
        <f t="shared" si="3"/>
        <v>0</v>
      </c>
      <c r="T45" s="151">
        <f t="shared" si="4"/>
        <v>0</v>
      </c>
      <c r="U45" s="153" t="e">
        <f>+VLOOKUP($M45,Data_Validation!$A:$D,1,0)</f>
        <v>#N/A</v>
      </c>
      <c r="V45" s="153" t="e">
        <f>+VLOOKUP($M45,Data_Validation!$A:$D,3,0)</f>
        <v>#N/A</v>
      </c>
      <c r="W45" s="153" t="e">
        <f>+VLOOKUP($M45,Data_Validation!$A:$D,4,0)</f>
        <v>#N/A</v>
      </c>
      <c r="X45" s="153" t="e">
        <f>+VLOOKUP($M45,Data_Validation!$A:$E,5,0)</f>
        <v>#N/A</v>
      </c>
      <c r="Y45" s="153" t="e">
        <f>+VLOOKUP($M45,Data_Validation!$A:$F,6,0)</f>
        <v>#N/A</v>
      </c>
    </row>
    <row r="46" spans="2:25" ht="15" customHeight="1">
      <c r="B46" s="1398"/>
      <c r="C46" s="1401"/>
      <c r="D46" s="1399"/>
      <c r="E46" s="1399"/>
      <c r="F46" s="1399"/>
      <c r="G46" s="1398"/>
      <c r="H46" s="1398"/>
      <c r="I46" s="1399"/>
      <c r="J46" s="1400"/>
      <c r="K46" s="1400"/>
      <c r="L46" s="1400"/>
      <c r="M46" s="150">
        <f t="shared" si="0"/>
        <v>0</v>
      </c>
      <c r="N46" s="151">
        <f t="shared" si="1"/>
        <v>0</v>
      </c>
      <c r="O46" s="152">
        <f>+IF(OR($R46=Parametres!$G$2,$R46=Parametres!$G$3),J46,D46)</f>
        <v>0</v>
      </c>
      <c r="P46" s="1085">
        <f>+IF(OR($R46=Parametres!$G$2,$R46=Parametres!$G$3),K46,E46)</f>
        <v>0</v>
      </c>
      <c r="Q46" s="152">
        <f>+IF(OR($R46=Parametres!$G$2,$R46=Parametres!$G$3),L46,F46)</f>
        <v>0</v>
      </c>
      <c r="R46" s="151">
        <f t="shared" si="2"/>
        <v>0</v>
      </c>
      <c r="S46" s="150">
        <f t="shared" si="3"/>
        <v>0</v>
      </c>
      <c r="T46" s="151">
        <f t="shared" si="4"/>
        <v>0</v>
      </c>
      <c r="U46" s="153" t="e">
        <f>+VLOOKUP($M46,Data_Validation!$A:$D,1,0)</f>
        <v>#N/A</v>
      </c>
      <c r="V46" s="153" t="e">
        <f>+VLOOKUP($M46,Data_Validation!$A:$D,3,0)</f>
        <v>#N/A</v>
      </c>
      <c r="W46" s="153" t="e">
        <f>+VLOOKUP($M46,Data_Validation!$A:$D,4,0)</f>
        <v>#N/A</v>
      </c>
      <c r="X46" s="153" t="e">
        <f>+VLOOKUP($M46,Data_Validation!$A:$E,5,0)</f>
        <v>#N/A</v>
      </c>
      <c r="Y46" s="153" t="e">
        <f>+VLOOKUP($M46,Data_Validation!$A:$F,6,0)</f>
        <v>#N/A</v>
      </c>
    </row>
    <row r="47" spans="2:25" ht="15" customHeight="1">
      <c r="B47" s="1398"/>
      <c r="C47" s="1401"/>
      <c r="D47" s="1399"/>
      <c r="E47" s="1399"/>
      <c r="F47" s="1399"/>
      <c r="G47" s="1398"/>
      <c r="H47" s="1398"/>
      <c r="I47" s="1399"/>
      <c r="J47" s="1400"/>
      <c r="K47" s="1400"/>
      <c r="L47" s="1400"/>
      <c r="M47" s="150">
        <f t="shared" si="0"/>
        <v>0</v>
      </c>
      <c r="N47" s="151">
        <f t="shared" si="1"/>
        <v>0</v>
      </c>
      <c r="O47" s="152">
        <f>+IF(OR($R47=Parametres!$G$2,$R47=Parametres!$G$3),J47,D47)</f>
        <v>0</v>
      </c>
      <c r="P47" s="1085">
        <f>+IF(OR($R47=Parametres!$G$2,$R47=Parametres!$G$3),K47,E47)</f>
        <v>0</v>
      </c>
      <c r="Q47" s="152">
        <f>+IF(OR($R47=Parametres!$G$2,$R47=Parametres!$G$3),L47,F47)</f>
        <v>0</v>
      </c>
      <c r="R47" s="151">
        <f t="shared" si="2"/>
        <v>0</v>
      </c>
      <c r="S47" s="150">
        <f t="shared" si="3"/>
        <v>0</v>
      </c>
      <c r="T47" s="151">
        <f t="shared" si="4"/>
        <v>0</v>
      </c>
      <c r="U47" s="153" t="e">
        <f>+VLOOKUP($M47,Data_Validation!$A:$D,1,0)</f>
        <v>#N/A</v>
      </c>
      <c r="V47" s="153" t="e">
        <f>+VLOOKUP($M47,Data_Validation!$A:$D,3,0)</f>
        <v>#N/A</v>
      </c>
      <c r="W47" s="153" t="e">
        <f>+VLOOKUP($M47,Data_Validation!$A:$D,4,0)</f>
        <v>#N/A</v>
      </c>
      <c r="X47" s="153" t="e">
        <f>+VLOOKUP($M47,Data_Validation!$A:$E,5,0)</f>
        <v>#N/A</v>
      </c>
      <c r="Y47" s="153" t="e">
        <f>+VLOOKUP($M47,Data_Validation!$A:$F,6,0)</f>
        <v>#N/A</v>
      </c>
    </row>
    <row r="48" spans="2:25" ht="15.75" customHeight="1">
      <c r="B48" s="1398"/>
      <c r="C48" s="1401"/>
      <c r="D48" s="1399"/>
      <c r="E48" s="1399"/>
      <c r="F48" s="1399"/>
      <c r="G48" s="1398"/>
      <c r="H48" s="1398"/>
      <c r="I48" s="1399"/>
      <c r="J48" s="1400"/>
      <c r="K48" s="1400"/>
      <c r="L48" s="1400"/>
      <c r="M48" s="150">
        <f t="shared" si="0"/>
        <v>0</v>
      </c>
      <c r="N48" s="151">
        <f t="shared" si="1"/>
        <v>0</v>
      </c>
      <c r="O48" s="152">
        <f>+IF(OR($R48=Parametres!$G$2,$R48=Parametres!$G$3),J48,D48)</f>
        <v>0</v>
      </c>
      <c r="P48" s="1085">
        <f>+IF(OR($R48=Parametres!$G$2,$R48=Parametres!$G$3),K48,E48)</f>
        <v>0</v>
      </c>
      <c r="Q48" s="152">
        <f>+IF(OR($R48=Parametres!$G$2,$R48=Parametres!$G$3),L48,F48)</f>
        <v>0</v>
      </c>
      <c r="R48" s="151">
        <f t="shared" si="2"/>
        <v>0</v>
      </c>
      <c r="S48" s="150">
        <f t="shared" si="3"/>
        <v>0</v>
      </c>
      <c r="T48" s="151">
        <f t="shared" si="4"/>
        <v>0</v>
      </c>
      <c r="U48" s="153" t="e">
        <f>+VLOOKUP($M48,Data_Validation!$A:$D,1,0)</f>
        <v>#N/A</v>
      </c>
      <c r="V48" s="153" t="e">
        <f>+VLOOKUP($M48,Data_Validation!$A:$D,3,0)</f>
        <v>#N/A</v>
      </c>
      <c r="W48" s="153" t="e">
        <f>+VLOOKUP($M48,Data_Validation!$A:$D,4,0)</f>
        <v>#N/A</v>
      </c>
      <c r="X48" s="153" t="e">
        <f>+VLOOKUP($M48,Data_Validation!$A:$E,5,0)</f>
        <v>#N/A</v>
      </c>
      <c r="Y48" s="153" t="e">
        <f>+VLOOKUP($M48,Data_Validation!$A:$F,6,0)</f>
        <v>#N/A</v>
      </c>
    </row>
    <row r="49" spans="2:25" ht="15" customHeight="1">
      <c r="B49" s="1398"/>
      <c r="C49" s="1401"/>
      <c r="D49" s="1399"/>
      <c r="E49" s="1399"/>
      <c r="F49" s="1399"/>
      <c r="G49" s="1398"/>
      <c r="H49" s="1398"/>
      <c r="I49" s="1399"/>
      <c r="J49" s="1400"/>
      <c r="K49" s="1400"/>
      <c r="L49" s="1400"/>
      <c r="M49" s="150">
        <f t="shared" si="0"/>
        <v>0</v>
      </c>
      <c r="N49" s="151">
        <f t="shared" si="1"/>
        <v>0</v>
      </c>
      <c r="O49" s="152">
        <f>+IF(OR($R49=Parametres!$G$2,$R49=Parametres!$G$3),J49,D49)</f>
        <v>0</v>
      </c>
      <c r="P49" s="1083">
        <f>+IF(OR($R49=Parametres!$G$2,$R49=Parametres!$G$3),K49,E49)</f>
        <v>0</v>
      </c>
      <c r="Q49" s="152">
        <f>+IF(OR($R49=Parametres!$G$2,$R49=Parametres!$G$3),L49,F49)</f>
        <v>0</v>
      </c>
      <c r="R49" s="151">
        <f t="shared" si="2"/>
        <v>0</v>
      </c>
      <c r="S49" s="150">
        <f t="shared" si="3"/>
        <v>0</v>
      </c>
      <c r="T49" s="151">
        <f t="shared" si="4"/>
        <v>0</v>
      </c>
      <c r="U49" s="153" t="e">
        <f>+VLOOKUP($M49,Data_Validation!$A:$D,1,0)</f>
        <v>#N/A</v>
      </c>
      <c r="V49" s="153" t="e">
        <f>+VLOOKUP($M49,Data_Validation!$A:$D,3,0)</f>
        <v>#N/A</v>
      </c>
      <c r="W49" s="153" t="e">
        <f>+VLOOKUP($M49,Data_Validation!$A:$D,4,0)</f>
        <v>#N/A</v>
      </c>
      <c r="X49" s="153" t="e">
        <f>+VLOOKUP($M49,Data_Validation!$A:$E,5,0)</f>
        <v>#N/A</v>
      </c>
      <c r="Y49" s="153" t="e">
        <f>+VLOOKUP($M49,Data_Validation!$A:$F,6,0)</f>
        <v>#N/A</v>
      </c>
    </row>
    <row r="50" spans="2:25" ht="15" customHeight="1">
      <c r="B50" s="1398"/>
      <c r="C50" s="1401"/>
      <c r="D50" s="1399"/>
      <c r="E50" s="1399"/>
      <c r="F50" s="1399"/>
      <c r="G50" s="1398"/>
      <c r="H50" s="1398"/>
      <c r="I50" s="1399"/>
      <c r="J50" s="1400"/>
      <c r="K50" s="1400"/>
      <c r="L50" s="1400"/>
      <c r="M50" s="150">
        <f t="shared" si="0"/>
        <v>0</v>
      </c>
      <c r="N50" s="151">
        <f t="shared" si="1"/>
        <v>0</v>
      </c>
      <c r="O50" s="152">
        <f>+IF(OR($R50=Parametres!$G$2,$R50=Parametres!$G$3),J50,D50)</f>
        <v>0</v>
      </c>
      <c r="P50" s="1085">
        <f>+IF(OR($R50=Parametres!$G$2,$R50=Parametres!$G$3),K50,E50)</f>
        <v>0</v>
      </c>
      <c r="Q50" s="152">
        <f>+IF(OR($R50=Parametres!$G$2,$R50=Parametres!$G$3),L50,F50)</f>
        <v>0</v>
      </c>
      <c r="R50" s="151">
        <f t="shared" si="2"/>
        <v>0</v>
      </c>
      <c r="S50" s="150">
        <f t="shared" si="3"/>
        <v>0</v>
      </c>
      <c r="T50" s="151">
        <f t="shared" si="4"/>
        <v>0</v>
      </c>
      <c r="U50" s="153" t="e">
        <f>+VLOOKUP($M50,Data_Validation!$A:$D,1,0)</f>
        <v>#N/A</v>
      </c>
      <c r="V50" s="153" t="e">
        <f>+VLOOKUP($M50,Data_Validation!$A:$D,3,0)</f>
        <v>#N/A</v>
      </c>
      <c r="W50" s="153" t="e">
        <f>+VLOOKUP($M50,Data_Validation!$A:$D,4,0)</f>
        <v>#N/A</v>
      </c>
      <c r="X50" s="153" t="e">
        <f>+VLOOKUP($M50,Data_Validation!$A:$E,5,0)</f>
        <v>#N/A</v>
      </c>
      <c r="Y50" s="153" t="e">
        <f>+VLOOKUP($M50,Data_Validation!$A:$F,6,0)</f>
        <v>#N/A</v>
      </c>
    </row>
    <row r="51" spans="2:25" ht="15" customHeight="1">
      <c r="B51" s="1398"/>
      <c r="C51" s="1401"/>
      <c r="D51" s="1399"/>
      <c r="E51" s="1399"/>
      <c r="F51" s="1399"/>
      <c r="G51" s="1398"/>
      <c r="H51" s="1398"/>
      <c r="I51" s="1399"/>
      <c r="J51" s="1400"/>
      <c r="K51" s="1400"/>
      <c r="L51" s="1400"/>
      <c r="M51" s="150">
        <f t="shared" si="0"/>
        <v>0</v>
      </c>
      <c r="N51" s="151">
        <f t="shared" si="1"/>
        <v>0</v>
      </c>
      <c r="O51" s="152">
        <f>+IF(OR($R51=Parametres!$G$2,$R51=Parametres!$G$3),J51,D51)</f>
        <v>0</v>
      </c>
      <c r="P51" s="1085">
        <f>+IF(OR($R51=Parametres!$G$2,$R51=Parametres!$G$3),K51,E51)</f>
        <v>0</v>
      </c>
      <c r="Q51" s="152">
        <f>+IF(OR($R51=Parametres!$G$2,$R51=Parametres!$G$3),L51,F51)</f>
        <v>0</v>
      </c>
      <c r="R51" s="151">
        <f t="shared" si="2"/>
        <v>0</v>
      </c>
      <c r="S51" s="150">
        <f t="shared" si="3"/>
        <v>0</v>
      </c>
      <c r="T51" s="151">
        <f t="shared" si="4"/>
        <v>0</v>
      </c>
      <c r="U51" s="153" t="e">
        <f>+VLOOKUP($M51,Data_Validation!$A:$D,1,0)</f>
        <v>#N/A</v>
      </c>
      <c r="V51" s="153" t="e">
        <f>+VLOOKUP($M51,Data_Validation!$A:$D,3,0)</f>
        <v>#N/A</v>
      </c>
      <c r="W51" s="153" t="e">
        <f>+VLOOKUP($M51,Data_Validation!$A:$D,4,0)</f>
        <v>#N/A</v>
      </c>
      <c r="X51" s="153" t="e">
        <f>+VLOOKUP($M51,Data_Validation!$A:$E,5,0)</f>
        <v>#N/A</v>
      </c>
      <c r="Y51" s="153" t="e">
        <f>+VLOOKUP($M51,Data_Validation!$A:$F,6,0)</f>
        <v>#N/A</v>
      </c>
    </row>
    <row r="52" spans="2:25" ht="15.75" customHeight="1">
      <c r="B52" s="1398"/>
      <c r="C52" s="1401"/>
      <c r="D52" s="1399"/>
      <c r="E52" s="1399"/>
      <c r="F52" s="1399"/>
      <c r="G52" s="1398"/>
      <c r="H52" s="1398"/>
      <c r="I52" s="1399"/>
      <c r="J52" s="1400"/>
      <c r="K52" s="1400"/>
      <c r="L52" s="1400"/>
      <c r="M52" s="150">
        <f t="shared" si="0"/>
        <v>0</v>
      </c>
      <c r="N52" s="151">
        <f t="shared" si="1"/>
        <v>0</v>
      </c>
      <c r="O52" s="152">
        <f>+IF(OR($R52=Parametres!$G$2,$R52=Parametres!$G$3),J52,D52)</f>
        <v>0</v>
      </c>
      <c r="P52" s="1085">
        <f>+IF(OR($R52=Parametres!$G$2,$R52=Parametres!$G$3),K52,E52)</f>
        <v>0</v>
      </c>
      <c r="Q52" s="152">
        <f>+IF(OR($R52=Parametres!$G$2,$R52=Parametres!$G$3),L52,F52)</f>
        <v>0</v>
      </c>
      <c r="R52" s="151">
        <f t="shared" si="2"/>
        <v>0</v>
      </c>
      <c r="S52" s="150">
        <f t="shared" si="3"/>
        <v>0</v>
      </c>
      <c r="T52" s="151">
        <f t="shared" si="4"/>
        <v>0</v>
      </c>
      <c r="U52" s="153" t="e">
        <f>+VLOOKUP($M52,Data_Validation!$A:$D,1,0)</f>
        <v>#N/A</v>
      </c>
      <c r="V52" s="153" t="e">
        <f>+VLOOKUP($M52,Data_Validation!$A:$D,3,0)</f>
        <v>#N/A</v>
      </c>
      <c r="W52" s="153" t="e">
        <f>+VLOOKUP($M52,Data_Validation!$A:$D,4,0)</f>
        <v>#N/A</v>
      </c>
      <c r="X52" s="153" t="e">
        <f>+VLOOKUP($M52,Data_Validation!$A:$E,5,0)</f>
        <v>#N/A</v>
      </c>
      <c r="Y52" s="153" t="e">
        <f>+VLOOKUP($M52,Data_Validation!$A:$F,6,0)</f>
        <v>#N/A</v>
      </c>
    </row>
    <row r="53" spans="2:25" ht="15" customHeight="1">
      <c r="B53" s="1398"/>
      <c r="C53" s="1401"/>
      <c r="D53" s="1399"/>
      <c r="E53" s="1399"/>
      <c r="F53" s="1399"/>
      <c r="G53" s="1398"/>
      <c r="H53" s="1398"/>
      <c r="I53" s="1399"/>
      <c r="J53" s="1400"/>
      <c r="K53" s="1400"/>
      <c r="L53" s="1400"/>
      <c r="M53" s="150">
        <f t="shared" si="0"/>
        <v>0</v>
      </c>
      <c r="N53" s="151">
        <f t="shared" si="1"/>
        <v>0</v>
      </c>
      <c r="O53" s="152">
        <f>+IF(OR($R53=Parametres!$G$2,$R53=Parametres!$G$3),J53,D53)</f>
        <v>0</v>
      </c>
      <c r="P53" s="1085">
        <f>+IF(OR($R53=Parametres!$G$2,$R53=Parametres!$G$3),K53,E53)</f>
        <v>0</v>
      </c>
      <c r="Q53" s="152">
        <f>+IF(OR($R53=Parametres!$G$2,$R53=Parametres!$G$3),L53,F53)</f>
        <v>0</v>
      </c>
      <c r="R53" s="151">
        <f t="shared" si="2"/>
        <v>0</v>
      </c>
      <c r="S53" s="150">
        <f t="shared" si="3"/>
        <v>0</v>
      </c>
      <c r="T53" s="151">
        <f t="shared" si="4"/>
        <v>0</v>
      </c>
      <c r="U53" s="153" t="e">
        <f>+VLOOKUP($M53,Data_Validation!$A:$D,1,0)</f>
        <v>#N/A</v>
      </c>
      <c r="V53" s="153" t="e">
        <f>+VLOOKUP($M53,Data_Validation!$A:$D,3,0)</f>
        <v>#N/A</v>
      </c>
      <c r="W53" s="153" t="e">
        <f>+VLOOKUP($M53,Data_Validation!$A:$D,4,0)</f>
        <v>#N/A</v>
      </c>
      <c r="X53" s="153" t="e">
        <f>+VLOOKUP($M53,Data_Validation!$A:$E,5,0)</f>
        <v>#N/A</v>
      </c>
      <c r="Y53" s="153" t="e">
        <f>+VLOOKUP($M53,Data_Validation!$A:$F,6,0)</f>
        <v>#N/A</v>
      </c>
    </row>
    <row r="54" spans="2:25" ht="15" customHeight="1">
      <c r="B54" s="1398"/>
      <c r="C54" s="1401"/>
      <c r="D54" s="1399"/>
      <c r="E54" s="1399"/>
      <c r="F54" s="1399"/>
      <c r="G54" s="1398"/>
      <c r="H54" s="1398"/>
      <c r="I54" s="1399"/>
      <c r="J54" s="1400"/>
      <c r="K54" s="1400"/>
      <c r="L54" s="1400"/>
      <c r="M54" s="150">
        <f t="shared" si="0"/>
        <v>0</v>
      </c>
      <c r="N54" s="151">
        <f t="shared" si="1"/>
        <v>0</v>
      </c>
      <c r="O54" s="152">
        <f>+IF(OR($R54=Parametres!$G$2,$R54=Parametres!$G$3),J54,D54)</f>
        <v>0</v>
      </c>
      <c r="P54" s="1085">
        <f>+IF(OR($R54=Parametres!$G$2,$R54=Parametres!$G$3),K54,E54)</f>
        <v>0</v>
      </c>
      <c r="Q54" s="152">
        <f>+IF(OR($R54=Parametres!$G$2,$R54=Parametres!$G$3),L54,F54)</f>
        <v>0</v>
      </c>
      <c r="R54" s="151">
        <f t="shared" si="2"/>
        <v>0</v>
      </c>
      <c r="S54" s="150">
        <f t="shared" si="3"/>
        <v>0</v>
      </c>
      <c r="T54" s="151">
        <f t="shared" si="4"/>
        <v>0</v>
      </c>
      <c r="U54" s="153" t="e">
        <f>+VLOOKUP($M54,Data_Validation!$A:$D,1,0)</f>
        <v>#N/A</v>
      </c>
      <c r="V54" s="153" t="e">
        <f>+VLOOKUP($M54,Data_Validation!$A:$D,3,0)</f>
        <v>#N/A</v>
      </c>
      <c r="W54" s="153" t="e">
        <f>+VLOOKUP($M54,Data_Validation!$A:$D,4,0)</f>
        <v>#N/A</v>
      </c>
      <c r="X54" s="153" t="e">
        <f>+VLOOKUP($M54,Data_Validation!$A:$E,5,0)</f>
        <v>#N/A</v>
      </c>
      <c r="Y54" s="153" t="e">
        <f>+VLOOKUP($M54,Data_Validation!$A:$F,6,0)</f>
        <v>#N/A</v>
      </c>
    </row>
    <row r="55" spans="2:25" ht="15" customHeight="1">
      <c r="B55" s="1398"/>
      <c r="C55" s="1401"/>
      <c r="D55" s="1399"/>
      <c r="E55" s="1399"/>
      <c r="F55" s="1399"/>
      <c r="G55" s="1398"/>
      <c r="H55" s="1398"/>
      <c r="I55" s="1399"/>
      <c r="J55" s="1400"/>
      <c r="K55" s="1400"/>
      <c r="L55" s="1400"/>
      <c r="M55" s="150">
        <f t="shared" si="0"/>
        <v>0</v>
      </c>
      <c r="N55" s="151">
        <f t="shared" si="1"/>
        <v>0</v>
      </c>
      <c r="O55" s="152">
        <f>+IF(OR($R55=Parametres!$G$2,$R55=Parametres!$G$3),J55,D55)</f>
        <v>0</v>
      </c>
      <c r="P55" s="1085">
        <f>+IF(OR($R55=Parametres!$G$2,$R55=Parametres!$G$3),K55,E55)</f>
        <v>0</v>
      </c>
      <c r="Q55" s="152">
        <f>+IF(OR($R55=Parametres!$G$2,$R55=Parametres!$G$3),L55,F55)</f>
        <v>0</v>
      </c>
      <c r="R55" s="151">
        <f t="shared" si="2"/>
        <v>0</v>
      </c>
      <c r="S55" s="150">
        <f t="shared" si="3"/>
        <v>0</v>
      </c>
      <c r="T55" s="151">
        <f t="shared" si="4"/>
        <v>0</v>
      </c>
      <c r="U55" s="153" t="e">
        <f>+VLOOKUP($M55,Data_Validation!$A:$D,1,0)</f>
        <v>#N/A</v>
      </c>
      <c r="V55" s="153" t="e">
        <f>+VLOOKUP($M55,Data_Validation!$A:$D,3,0)</f>
        <v>#N/A</v>
      </c>
      <c r="W55" s="153" t="e">
        <f>+VLOOKUP($M55,Data_Validation!$A:$D,4,0)</f>
        <v>#N/A</v>
      </c>
      <c r="X55" s="153" t="e">
        <f>+VLOOKUP($M55,Data_Validation!$A:$E,5,0)</f>
        <v>#N/A</v>
      </c>
      <c r="Y55" s="153" t="e">
        <f>+VLOOKUP($M55,Data_Validation!$A:$F,6,0)</f>
        <v>#N/A</v>
      </c>
    </row>
    <row r="56" spans="2:25" ht="15.75" customHeight="1">
      <c r="B56" s="1398"/>
      <c r="C56" s="1401"/>
      <c r="D56" s="1399"/>
      <c r="E56" s="1399"/>
      <c r="F56" s="1399"/>
      <c r="G56" s="1398"/>
      <c r="H56" s="1398"/>
      <c r="I56" s="1399"/>
      <c r="J56" s="1400"/>
      <c r="K56" s="1400"/>
      <c r="L56" s="1400"/>
      <c r="M56" s="150">
        <f t="shared" si="0"/>
        <v>0</v>
      </c>
      <c r="N56" s="151">
        <f t="shared" si="1"/>
        <v>0</v>
      </c>
      <c r="O56" s="152">
        <f>+IF(OR($R56=Parametres!$G$2,$R56=Parametres!$G$3),J56,D56)</f>
        <v>0</v>
      </c>
      <c r="P56" s="1085">
        <f>+IF(OR($R56=Parametres!$G$2,$R56=Parametres!$G$3),K56,E56)</f>
        <v>0</v>
      </c>
      <c r="Q56" s="152">
        <f>+IF(OR($R56=Parametres!$G$2,$R56=Parametres!$G$3),L56,F56)</f>
        <v>0</v>
      </c>
      <c r="R56" s="151">
        <f t="shared" si="2"/>
        <v>0</v>
      </c>
      <c r="S56" s="150">
        <f t="shared" si="3"/>
        <v>0</v>
      </c>
      <c r="T56" s="151">
        <f t="shared" si="4"/>
        <v>0</v>
      </c>
      <c r="U56" s="153" t="e">
        <f>+VLOOKUP($M56,Data_Validation!$A:$D,1,0)</f>
        <v>#N/A</v>
      </c>
      <c r="V56" s="153" t="e">
        <f>+VLOOKUP($M56,Data_Validation!$A:$D,3,0)</f>
        <v>#N/A</v>
      </c>
      <c r="W56" s="153" t="e">
        <f>+VLOOKUP($M56,Data_Validation!$A:$D,4,0)</f>
        <v>#N/A</v>
      </c>
      <c r="X56" s="153" t="e">
        <f>+VLOOKUP($M56,Data_Validation!$A:$E,5,0)</f>
        <v>#N/A</v>
      </c>
      <c r="Y56" s="153" t="e">
        <f>+VLOOKUP($M56,Data_Validation!$A:$F,6,0)</f>
        <v>#N/A</v>
      </c>
    </row>
    <row r="57" spans="2:25" ht="15" customHeight="1">
      <c r="B57" s="1398"/>
      <c r="C57" s="1401"/>
      <c r="D57" s="1399"/>
      <c r="E57" s="1399"/>
      <c r="F57" s="1399"/>
      <c r="G57" s="1398"/>
      <c r="H57" s="1398"/>
      <c r="I57" s="1399"/>
      <c r="J57" s="1400"/>
      <c r="K57" s="1400"/>
      <c r="L57" s="1400"/>
      <c r="M57" s="150">
        <f t="shared" si="0"/>
        <v>0</v>
      </c>
      <c r="N57" s="151">
        <f t="shared" si="1"/>
        <v>0</v>
      </c>
      <c r="O57" s="152">
        <f>+IF(OR($R57=Parametres!$G$2,$R57=Parametres!$G$3),J57,D57)</f>
        <v>0</v>
      </c>
      <c r="P57" s="1085">
        <f>+IF(OR($R57=Parametres!$G$2,$R57=Parametres!$G$3),K57,E57)</f>
        <v>0</v>
      </c>
      <c r="Q57" s="152">
        <f>+IF(OR($R57=Parametres!$G$2,$R57=Parametres!$G$3),L57,F57)</f>
        <v>0</v>
      </c>
      <c r="R57" s="151">
        <f t="shared" si="2"/>
        <v>0</v>
      </c>
      <c r="S57" s="150">
        <f t="shared" si="3"/>
        <v>0</v>
      </c>
      <c r="T57" s="151">
        <f t="shared" si="4"/>
        <v>0</v>
      </c>
      <c r="U57" s="153" t="e">
        <f>+VLOOKUP($M57,Data_Validation!$A:$D,1,0)</f>
        <v>#N/A</v>
      </c>
      <c r="V57" s="153" t="e">
        <f>+VLOOKUP($M57,Data_Validation!$A:$D,3,0)</f>
        <v>#N/A</v>
      </c>
      <c r="W57" s="153" t="e">
        <f>+VLOOKUP($M57,Data_Validation!$A:$D,4,0)</f>
        <v>#N/A</v>
      </c>
      <c r="X57" s="153" t="e">
        <f>+VLOOKUP($M57,Data_Validation!$A:$E,5,0)</f>
        <v>#N/A</v>
      </c>
      <c r="Y57" s="153" t="e">
        <f>+VLOOKUP($M57,Data_Validation!$A:$F,6,0)</f>
        <v>#N/A</v>
      </c>
    </row>
    <row r="58" spans="2:25" ht="15" customHeight="1">
      <c r="B58" s="1398"/>
      <c r="C58" s="1401"/>
      <c r="D58" s="1399"/>
      <c r="E58" s="1399"/>
      <c r="F58" s="1399"/>
      <c r="G58" s="1398"/>
      <c r="H58" s="1398"/>
      <c r="I58" s="1399"/>
      <c r="J58" s="1400"/>
      <c r="K58" s="1400"/>
      <c r="L58" s="1400"/>
      <c r="M58" s="150">
        <f t="shared" si="0"/>
        <v>0</v>
      </c>
      <c r="N58" s="151">
        <f t="shared" si="1"/>
        <v>0</v>
      </c>
      <c r="O58" s="152">
        <f>+IF(OR($R58=Parametres!$G$2,$R58=Parametres!$G$3),J58,D58)</f>
        <v>0</v>
      </c>
      <c r="P58" s="1085">
        <f>+IF(OR($R58=Parametres!$G$2,$R58=Parametres!$G$3),K58,E58)</f>
        <v>0</v>
      </c>
      <c r="Q58" s="152">
        <f>+IF(OR($R58=Parametres!$G$2,$R58=Parametres!$G$3),L58,F58)</f>
        <v>0</v>
      </c>
      <c r="R58" s="151">
        <f t="shared" si="2"/>
        <v>0</v>
      </c>
      <c r="S58" s="150">
        <f t="shared" si="3"/>
        <v>0</v>
      </c>
      <c r="T58" s="151">
        <f t="shared" si="4"/>
        <v>0</v>
      </c>
      <c r="U58" s="153" t="e">
        <f>+VLOOKUP($M58,Data_Validation!$A:$D,1,0)</f>
        <v>#N/A</v>
      </c>
      <c r="V58" s="153" t="e">
        <f>+VLOOKUP($M58,Data_Validation!$A:$D,3,0)</f>
        <v>#N/A</v>
      </c>
      <c r="W58" s="153" t="e">
        <f>+VLOOKUP($M58,Data_Validation!$A:$D,4,0)</f>
        <v>#N/A</v>
      </c>
      <c r="X58" s="153" t="e">
        <f>+VLOOKUP($M58,Data_Validation!$A:$E,5,0)</f>
        <v>#N/A</v>
      </c>
      <c r="Y58" s="153" t="e">
        <f>+VLOOKUP($M58,Data_Validation!$A:$F,6,0)</f>
        <v>#N/A</v>
      </c>
    </row>
    <row r="59" spans="2:25" ht="15" customHeight="1">
      <c r="B59" s="1398"/>
      <c r="C59" s="1401"/>
      <c r="D59" s="1399"/>
      <c r="E59" s="1399"/>
      <c r="F59" s="1399"/>
      <c r="G59" s="1398"/>
      <c r="H59" s="1398"/>
      <c r="I59" s="1399"/>
      <c r="J59" s="1400"/>
      <c r="K59" s="1400"/>
      <c r="L59" s="1400"/>
      <c r="M59" s="150">
        <f t="shared" si="0"/>
        <v>0</v>
      </c>
      <c r="N59" s="151">
        <f t="shared" si="1"/>
        <v>0</v>
      </c>
      <c r="O59" s="152">
        <f>+IF(OR($R59=Parametres!$G$2,$R59=Parametres!$G$3),J59,D59)</f>
        <v>0</v>
      </c>
      <c r="P59" s="1083">
        <f>+IF(OR($R59=Parametres!$G$2,$R59=Parametres!$G$3),K59,E59)</f>
        <v>0</v>
      </c>
      <c r="Q59" s="152">
        <f>+IF(OR($R59=Parametres!$G$2,$R59=Parametres!$G$3),L59,F59)</f>
        <v>0</v>
      </c>
      <c r="R59" s="151">
        <f t="shared" si="2"/>
        <v>0</v>
      </c>
      <c r="S59" s="150">
        <f t="shared" si="3"/>
        <v>0</v>
      </c>
      <c r="T59" s="151">
        <f t="shared" si="4"/>
        <v>0</v>
      </c>
      <c r="U59" s="153" t="e">
        <f>+VLOOKUP($M59,Data_Validation!$A:$D,1,0)</f>
        <v>#N/A</v>
      </c>
      <c r="V59" s="153" t="e">
        <f>+VLOOKUP($M59,Data_Validation!$A:$D,3,0)</f>
        <v>#N/A</v>
      </c>
      <c r="W59" s="153" t="e">
        <f>+VLOOKUP($M59,Data_Validation!$A:$D,4,0)</f>
        <v>#N/A</v>
      </c>
      <c r="X59" s="153" t="e">
        <f>+VLOOKUP($M59,Data_Validation!$A:$E,5,0)</f>
        <v>#N/A</v>
      </c>
      <c r="Y59" s="153" t="e">
        <f>+VLOOKUP($M59,Data_Validation!$A:$F,6,0)</f>
        <v>#N/A</v>
      </c>
    </row>
    <row r="60" spans="2:25" ht="15" customHeight="1">
      <c r="B60" s="1398"/>
      <c r="C60" s="1401"/>
      <c r="D60" s="1399"/>
      <c r="E60" s="1399"/>
      <c r="F60" s="1399"/>
      <c r="G60" s="1398"/>
      <c r="H60" s="1398"/>
      <c r="I60" s="1399"/>
      <c r="J60" s="1400"/>
      <c r="K60" s="1400"/>
      <c r="L60" s="1400"/>
      <c r="M60" s="150">
        <f t="shared" si="0"/>
        <v>0</v>
      </c>
      <c r="N60" s="151">
        <f t="shared" si="1"/>
        <v>0</v>
      </c>
      <c r="O60" s="152">
        <f>+IF(OR($R60=Parametres!$G$2,$R60=Parametres!$G$3),J60,D60)</f>
        <v>0</v>
      </c>
      <c r="P60" s="1085">
        <f>+IF(OR($R60=Parametres!$G$2,$R60=Parametres!$G$3),K60,E60)</f>
        <v>0</v>
      </c>
      <c r="Q60" s="152">
        <f>+IF(OR($R60=Parametres!$G$2,$R60=Parametres!$G$3),L60,F60)</f>
        <v>0</v>
      </c>
      <c r="R60" s="151">
        <f t="shared" si="2"/>
        <v>0</v>
      </c>
      <c r="S60" s="150">
        <f t="shared" si="3"/>
        <v>0</v>
      </c>
      <c r="T60" s="151">
        <f t="shared" si="4"/>
        <v>0</v>
      </c>
      <c r="U60" s="153" t="e">
        <f>+VLOOKUP($M60,Data_Validation!$A:$D,1,0)</f>
        <v>#N/A</v>
      </c>
      <c r="V60" s="153" t="e">
        <f>+VLOOKUP($M60,Data_Validation!$A:$D,3,0)</f>
        <v>#N/A</v>
      </c>
      <c r="W60" s="153" t="e">
        <f>+VLOOKUP($M60,Data_Validation!$A:$D,4,0)</f>
        <v>#N/A</v>
      </c>
      <c r="X60" s="153" t="e">
        <f>+VLOOKUP($M60,Data_Validation!$A:$E,5,0)</f>
        <v>#N/A</v>
      </c>
      <c r="Y60" s="153" t="e">
        <f>+VLOOKUP($M60,Data_Validation!$A:$F,6,0)</f>
        <v>#N/A</v>
      </c>
    </row>
    <row r="61" spans="2:25" ht="15" customHeight="1">
      <c r="B61" s="1398"/>
      <c r="C61" s="1401"/>
      <c r="D61" s="1399"/>
      <c r="E61" s="1399"/>
      <c r="F61" s="1399"/>
      <c r="G61" s="1398"/>
      <c r="H61" s="1398"/>
      <c r="I61" s="1399"/>
      <c r="J61" s="1400"/>
      <c r="K61" s="1400"/>
      <c r="L61" s="1400"/>
      <c r="M61" s="150">
        <f t="shared" si="0"/>
        <v>0</v>
      </c>
      <c r="N61" s="151">
        <f t="shared" si="1"/>
        <v>0</v>
      </c>
      <c r="O61" s="152">
        <f>+IF(OR($R61=Parametres!$G$2,$R61=Parametres!$G$3),J61,D61)</f>
        <v>0</v>
      </c>
      <c r="P61" s="1085">
        <f>+IF(OR($R61=Parametres!$G$2,$R61=Parametres!$G$3),K61,E61)</f>
        <v>0</v>
      </c>
      <c r="Q61" s="152">
        <f>+IF(OR($R61=Parametres!$G$2,$R61=Parametres!$G$3),L61,F61)</f>
        <v>0</v>
      </c>
      <c r="R61" s="151">
        <f t="shared" si="2"/>
        <v>0</v>
      </c>
      <c r="S61" s="150">
        <f t="shared" si="3"/>
        <v>0</v>
      </c>
      <c r="T61" s="151">
        <f t="shared" si="4"/>
        <v>0</v>
      </c>
      <c r="U61" s="153" t="e">
        <f>+VLOOKUP($M61,Data_Validation!$A:$D,1,0)</f>
        <v>#N/A</v>
      </c>
      <c r="V61" s="153" t="e">
        <f>+VLOOKUP($M61,Data_Validation!$A:$D,3,0)</f>
        <v>#N/A</v>
      </c>
      <c r="W61" s="153" t="e">
        <f>+VLOOKUP($M61,Data_Validation!$A:$D,4,0)</f>
        <v>#N/A</v>
      </c>
      <c r="X61" s="153" t="e">
        <f>+VLOOKUP($M61,Data_Validation!$A:$E,5,0)</f>
        <v>#N/A</v>
      </c>
      <c r="Y61" s="153" t="e">
        <f>+VLOOKUP($M61,Data_Validation!$A:$F,6,0)</f>
        <v>#N/A</v>
      </c>
    </row>
    <row r="62" spans="2:25" ht="15" customHeight="1">
      <c r="B62" s="1398"/>
      <c r="C62" s="1401"/>
      <c r="D62" s="1399"/>
      <c r="E62" s="1399"/>
      <c r="F62" s="1399"/>
      <c r="G62" s="1398"/>
      <c r="H62" s="1398"/>
      <c r="I62" s="1399"/>
      <c r="J62" s="1400"/>
      <c r="K62" s="1400"/>
      <c r="L62" s="1400"/>
      <c r="M62" s="150">
        <f t="shared" si="0"/>
        <v>0</v>
      </c>
      <c r="N62" s="151">
        <f t="shared" si="1"/>
        <v>0</v>
      </c>
      <c r="O62" s="152">
        <f>+IF(OR($R62=Parametres!$G$2,$R62=Parametres!$G$3),J62,D62)</f>
        <v>0</v>
      </c>
      <c r="P62" s="1085">
        <f>+IF(OR($R62=Parametres!$G$2,$R62=Parametres!$G$3),K62,E62)</f>
        <v>0</v>
      </c>
      <c r="Q62" s="152">
        <f>+IF(OR($R62=Parametres!$G$2,$R62=Parametres!$G$3),L62,F62)</f>
        <v>0</v>
      </c>
      <c r="R62" s="151">
        <f t="shared" si="2"/>
        <v>0</v>
      </c>
      <c r="S62" s="150">
        <f t="shared" si="3"/>
        <v>0</v>
      </c>
      <c r="T62" s="151">
        <f t="shared" si="4"/>
        <v>0</v>
      </c>
      <c r="U62" s="153" t="e">
        <f>+VLOOKUP($M62,Data_Validation!$A:$D,1,0)</f>
        <v>#N/A</v>
      </c>
      <c r="V62" s="153" t="e">
        <f>+VLOOKUP($M62,Data_Validation!$A:$D,3,0)</f>
        <v>#N/A</v>
      </c>
      <c r="W62" s="153" t="e">
        <f>+VLOOKUP($M62,Data_Validation!$A:$D,4,0)</f>
        <v>#N/A</v>
      </c>
      <c r="X62" s="153" t="e">
        <f>+VLOOKUP($M62,Data_Validation!$A:$E,5,0)</f>
        <v>#N/A</v>
      </c>
      <c r="Y62" s="153" t="e">
        <f>+VLOOKUP($M62,Data_Validation!$A:$F,6,0)</f>
        <v>#N/A</v>
      </c>
    </row>
    <row r="63" spans="2:25" ht="15" customHeight="1">
      <c r="B63" s="1398"/>
      <c r="C63" s="1401"/>
      <c r="D63" s="1399"/>
      <c r="E63" s="1399"/>
      <c r="F63" s="1399"/>
      <c r="G63" s="1398"/>
      <c r="H63" s="1398"/>
      <c r="I63" s="1399"/>
      <c r="J63" s="1400"/>
      <c r="K63" s="1400"/>
      <c r="L63" s="1400"/>
      <c r="M63" s="150">
        <f t="shared" si="0"/>
        <v>0</v>
      </c>
      <c r="N63" s="151">
        <f t="shared" si="1"/>
        <v>0</v>
      </c>
      <c r="O63" s="152">
        <f>+IF(OR($R63=Parametres!$G$2,$R63=Parametres!$G$3),J63,D63)</f>
        <v>0</v>
      </c>
      <c r="P63" s="1083">
        <f>+IF(OR($R63=Parametres!$G$2,$R63=Parametres!$G$3),K63,E63)</f>
        <v>0</v>
      </c>
      <c r="Q63" s="152">
        <f>+IF(OR($R63=Parametres!$G$2,$R63=Parametres!$G$3),L63,F63)</f>
        <v>0</v>
      </c>
      <c r="R63" s="151">
        <f t="shared" si="2"/>
        <v>0</v>
      </c>
      <c r="S63" s="150">
        <f t="shared" si="3"/>
        <v>0</v>
      </c>
      <c r="T63" s="151">
        <f t="shared" si="4"/>
        <v>0</v>
      </c>
      <c r="U63" s="153" t="e">
        <f>+VLOOKUP($M63,Data_Validation!$A:$D,1,0)</f>
        <v>#N/A</v>
      </c>
      <c r="V63" s="153" t="e">
        <f>+VLOOKUP($M63,Data_Validation!$A:$D,3,0)</f>
        <v>#N/A</v>
      </c>
      <c r="W63" s="153" t="e">
        <f>+VLOOKUP($M63,Data_Validation!$A:$D,4,0)</f>
        <v>#N/A</v>
      </c>
      <c r="X63" s="153" t="e">
        <f>+VLOOKUP($M63,Data_Validation!$A:$E,5,0)</f>
        <v>#N/A</v>
      </c>
      <c r="Y63" s="153" t="e">
        <f>+VLOOKUP($M63,Data_Validation!$A:$F,6,0)</f>
        <v>#N/A</v>
      </c>
    </row>
    <row r="64" spans="2:25" ht="15" customHeight="1">
      <c r="B64" s="1398"/>
      <c r="C64" s="1401"/>
      <c r="D64" s="1399"/>
      <c r="E64" s="1399"/>
      <c r="F64" s="1399"/>
      <c r="G64" s="1398"/>
      <c r="H64" s="1398"/>
      <c r="I64" s="1399"/>
      <c r="J64" s="1400"/>
      <c r="K64" s="1400"/>
      <c r="L64" s="1400"/>
      <c r="M64" s="150">
        <f t="shared" si="0"/>
        <v>0</v>
      </c>
      <c r="N64" s="151">
        <f t="shared" si="1"/>
        <v>0</v>
      </c>
      <c r="O64" s="152">
        <f>+IF(OR($R64=Parametres!$G$2,$R64=Parametres!$G$3),J64,D64)</f>
        <v>0</v>
      </c>
      <c r="P64" s="1085">
        <f>+IF(OR($R64=Parametres!$G$2,$R64=Parametres!$G$3),K64,E64)</f>
        <v>0</v>
      </c>
      <c r="Q64" s="152">
        <f>+IF(OR($R64=Parametres!$G$2,$R64=Parametres!$G$3),L64,F64)</f>
        <v>0</v>
      </c>
      <c r="R64" s="151">
        <f t="shared" si="2"/>
        <v>0</v>
      </c>
      <c r="S64" s="150">
        <f t="shared" si="3"/>
        <v>0</v>
      </c>
      <c r="T64" s="151">
        <f t="shared" si="4"/>
        <v>0</v>
      </c>
      <c r="U64" s="153" t="e">
        <f>+VLOOKUP($M64,Data_Validation!$A:$D,1,0)</f>
        <v>#N/A</v>
      </c>
      <c r="V64" s="153" t="e">
        <f>+VLOOKUP($M64,Data_Validation!$A:$D,3,0)</f>
        <v>#N/A</v>
      </c>
      <c r="W64" s="153" t="e">
        <f>+VLOOKUP($M64,Data_Validation!$A:$D,4,0)</f>
        <v>#N/A</v>
      </c>
      <c r="X64" s="153" t="e">
        <f>+VLOOKUP($M64,Data_Validation!$A:$E,5,0)</f>
        <v>#N/A</v>
      </c>
      <c r="Y64" s="153" t="e">
        <f>+VLOOKUP($M64,Data_Validation!$A:$F,6,0)</f>
        <v>#N/A</v>
      </c>
    </row>
    <row r="65" spans="2:25" ht="15" customHeight="1">
      <c r="B65" s="1398"/>
      <c r="C65" s="1401"/>
      <c r="D65" s="1399"/>
      <c r="E65" s="1399"/>
      <c r="F65" s="1399"/>
      <c r="G65" s="1398"/>
      <c r="H65" s="1398"/>
      <c r="I65" s="1399"/>
      <c r="J65" s="1400"/>
      <c r="K65" s="1400"/>
      <c r="L65" s="1400"/>
      <c r="M65" s="150">
        <f t="shared" si="0"/>
        <v>0</v>
      </c>
      <c r="N65" s="151">
        <f t="shared" si="1"/>
        <v>0</v>
      </c>
      <c r="O65" s="152">
        <f>+IF(OR($R65=Parametres!$G$2,$R65=Parametres!$G$3),J65,D65)</f>
        <v>0</v>
      </c>
      <c r="P65" s="1083">
        <f>+IF(OR($R65=Parametres!$G$2,$R65=Parametres!$G$3),K65,E65)</f>
        <v>0</v>
      </c>
      <c r="Q65" s="152">
        <f>+IF(OR($R65=Parametres!$G$2,$R65=Parametres!$G$3),L65,F65)</f>
        <v>0</v>
      </c>
      <c r="R65" s="151">
        <f t="shared" si="2"/>
        <v>0</v>
      </c>
      <c r="S65" s="150">
        <f t="shared" si="3"/>
        <v>0</v>
      </c>
      <c r="T65" s="151">
        <f t="shared" si="4"/>
        <v>0</v>
      </c>
      <c r="U65" s="153" t="e">
        <f>+VLOOKUP($M65,Data_Validation!$A:$D,1,0)</f>
        <v>#N/A</v>
      </c>
      <c r="V65" s="153" t="e">
        <f>+VLOOKUP($M65,Data_Validation!$A:$D,3,0)</f>
        <v>#N/A</v>
      </c>
      <c r="W65" s="153" t="e">
        <f>+VLOOKUP($M65,Data_Validation!$A:$D,4,0)</f>
        <v>#N/A</v>
      </c>
      <c r="X65" s="153" t="e">
        <f>+VLOOKUP($M65,Data_Validation!$A:$E,5,0)</f>
        <v>#N/A</v>
      </c>
      <c r="Y65" s="153" t="e">
        <f>+VLOOKUP($M65,Data_Validation!$A:$F,6,0)</f>
        <v>#N/A</v>
      </c>
    </row>
    <row r="66" spans="2:25" ht="15" customHeight="1">
      <c r="B66" s="1398"/>
      <c r="C66" s="1401"/>
      <c r="D66" s="1399"/>
      <c r="E66" s="1399"/>
      <c r="F66" s="1399"/>
      <c r="G66" s="1398"/>
      <c r="H66" s="1398"/>
      <c r="I66" s="1399"/>
      <c r="J66" s="1400"/>
      <c r="K66" s="1400"/>
      <c r="L66" s="1400"/>
      <c r="M66" s="150">
        <f t="shared" ref="M66:M129" si="5">+C66</f>
        <v>0</v>
      </c>
      <c r="N66" s="151">
        <f t="shared" ref="N66:N129" si="6">+B66</f>
        <v>0</v>
      </c>
      <c r="O66" s="152">
        <f>+IF(OR($R66=Parametres!$G$2,$R66=Parametres!$G$3),J66,D66)</f>
        <v>0</v>
      </c>
      <c r="P66" s="1085">
        <f>+IF(OR($R66=Parametres!$G$2,$R66=Parametres!$G$3),K66,E66)</f>
        <v>0</v>
      </c>
      <c r="Q66" s="152">
        <f>+IF(OR($R66=Parametres!$G$2,$R66=Parametres!$G$3),L66,F66)</f>
        <v>0</v>
      </c>
      <c r="R66" s="151">
        <f t="shared" ref="R66:R129" si="7">+G66</f>
        <v>0</v>
      </c>
      <c r="S66" s="150">
        <f t="shared" ref="S66:S129" si="8">+H66</f>
        <v>0</v>
      </c>
      <c r="T66" s="151">
        <f t="shared" ref="T66:T129" si="9">+I66</f>
        <v>0</v>
      </c>
      <c r="U66" s="153" t="e">
        <f>+VLOOKUP($M66,Data_Validation!$A:$D,1,0)</f>
        <v>#N/A</v>
      </c>
      <c r="V66" s="153" t="e">
        <f>+VLOOKUP($M66,Data_Validation!$A:$D,3,0)</f>
        <v>#N/A</v>
      </c>
      <c r="W66" s="153" t="e">
        <f>+VLOOKUP($M66,Data_Validation!$A:$D,4,0)</f>
        <v>#N/A</v>
      </c>
      <c r="X66" s="153" t="e">
        <f>+VLOOKUP($M66,Data_Validation!$A:$E,5,0)</f>
        <v>#N/A</v>
      </c>
      <c r="Y66" s="153" t="e">
        <f>+VLOOKUP($M66,Data_Validation!$A:$F,6,0)</f>
        <v>#N/A</v>
      </c>
    </row>
    <row r="67" spans="2:25" ht="15" customHeight="1">
      <c r="B67" s="1398"/>
      <c r="C67" s="1401"/>
      <c r="D67" s="1399"/>
      <c r="E67" s="1399"/>
      <c r="F67" s="1399"/>
      <c r="G67" s="1398"/>
      <c r="H67" s="1398"/>
      <c r="I67" s="1399"/>
      <c r="J67" s="1400"/>
      <c r="K67" s="1400"/>
      <c r="L67" s="1400"/>
      <c r="M67" s="150">
        <f t="shared" si="5"/>
        <v>0</v>
      </c>
      <c r="N67" s="151">
        <f t="shared" si="6"/>
        <v>0</v>
      </c>
      <c r="O67" s="152">
        <f>+IF(OR($R67=Parametres!$G$2,$R67=Parametres!$G$3),J67,D67)</f>
        <v>0</v>
      </c>
      <c r="P67" s="1085">
        <f>+IF(OR($R67=Parametres!$G$2,$R67=Parametres!$G$3),K67,E67)</f>
        <v>0</v>
      </c>
      <c r="Q67" s="152">
        <f>+IF(OR($R67=Parametres!$G$2,$R67=Parametres!$G$3),L67,F67)</f>
        <v>0</v>
      </c>
      <c r="R67" s="151">
        <f t="shared" si="7"/>
        <v>0</v>
      </c>
      <c r="S67" s="150">
        <f t="shared" si="8"/>
        <v>0</v>
      </c>
      <c r="T67" s="151">
        <f t="shared" si="9"/>
        <v>0</v>
      </c>
      <c r="U67" s="153" t="e">
        <f>+VLOOKUP($M67,Data_Validation!$A:$D,1,0)</f>
        <v>#N/A</v>
      </c>
      <c r="V67" s="153" t="e">
        <f>+VLOOKUP($M67,Data_Validation!$A:$D,3,0)</f>
        <v>#N/A</v>
      </c>
      <c r="W67" s="153" t="e">
        <f>+VLOOKUP($M67,Data_Validation!$A:$D,4,0)</f>
        <v>#N/A</v>
      </c>
      <c r="X67" s="153" t="e">
        <f>+VLOOKUP($M67,Data_Validation!$A:$E,5,0)</f>
        <v>#N/A</v>
      </c>
      <c r="Y67" s="153" t="e">
        <f>+VLOOKUP($M67,Data_Validation!$A:$F,6,0)</f>
        <v>#N/A</v>
      </c>
    </row>
    <row r="68" spans="2:25" ht="15" customHeight="1">
      <c r="B68" s="1398"/>
      <c r="C68" s="1401"/>
      <c r="D68" s="1399"/>
      <c r="E68" s="1399"/>
      <c r="F68" s="1399"/>
      <c r="G68" s="1398"/>
      <c r="H68" s="1398"/>
      <c r="I68" s="1399"/>
      <c r="J68" s="1400"/>
      <c r="K68" s="1400"/>
      <c r="L68" s="1400"/>
      <c r="M68" s="150">
        <f t="shared" si="5"/>
        <v>0</v>
      </c>
      <c r="N68" s="151">
        <f t="shared" si="6"/>
        <v>0</v>
      </c>
      <c r="O68" s="152">
        <f>+IF(OR($R68=Parametres!$G$2,$R68=Parametres!$G$3),J68,D68)</f>
        <v>0</v>
      </c>
      <c r="P68" s="1083">
        <f>+IF(OR($R68=Parametres!$G$2,$R68=Parametres!$G$3),K68,E68)</f>
        <v>0</v>
      </c>
      <c r="Q68" s="152">
        <f>+IF(OR($R68=Parametres!$G$2,$R68=Parametres!$G$3),L68,F68)</f>
        <v>0</v>
      </c>
      <c r="R68" s="151">
        <f t="shared" si="7"/>
        <v>0</v>
      </c>
      <c r="S68" s="150">
        <f t="shared" si="8"/>
        <v>0</v>
      </c>
      <c r="T68" s="151">
        <f t="shared" si="9"/>
        <v>0</v>
      </c>
      <c r="U68" s="153" t="e">
        <f>+VLOOKUP($M68,Data_Validation!$A:$D,1,0)</f>
        <v>#N/A</v>
      </c>
      <c r="V68" s="153" t="e">
        <f>+VLOOKUP($M68,Data_Validation!$A:$D,3,0)</f>
        <v>#N/A</v>
      </c>
      <c r="W68" s="153" t="e">
        <f>+VLOOKUP($M68,Data_Validation!$A:$D,4,0)</f>
        <v>#N/A</v>
      </c>
      <c r="X68" s="153" t="e">
        <f>+VLOOKUP($M68,Data_Validation!$A:$E,5,0)</f>
        <v>#N/A</v>
      </c>
      <c r="Y68" s="153" t="e">
        <f>+VLOOKUP($M68,Data_Validation!$A:$F,6,0)</f>
        <v>#N/A</v>
      </c>
    </row>
    <row r="69" spans="2:25" ht="15" customHeight="1">
      <c r="B69" s="1398"/>
      <c r="C69" s="1401"/>
      <c r="D69" s="1399"/>
      <c r="E69" s="1399"/>
      <c r="F69" s="1399"/>
      <c r="G69" s="1398"/>
      <c r="H69" s="1398"/>
      <c r="I69" s="1399"/>
      <c r="J69" s="1400"/>
      <c r="K69" s="1400"/>
      <c r="L69" s="1400"/>
      <c r="M69" s="150">
        <f t="shared" si="5"/>
        <v>0</v>
      </c>
      <c r="N69" s="151">
        <f t="shared" si="6"/>
        <v>0</v>
      </c>
      <c r="O69" s="152">
        <f>+IF(OR($R69=Parametres!$G$2,$R69=Parametres!$G$3),J69,D69)</f>
        <v>0</v>
      </c>
      <c r="P69" s="1085">
        <f>+IF(OR($R69=Parametres!$G$2,$R69=Parametres!$G$3),K69,E69)</f>
        <v>0</v>
      </c>
      <c r="Q69" s="152">
        <f>+IF(OR($R69=Parametres!$G$2,$R69=Parametres!$G$3),L69,F69)</f>
        <v>0</v>
      </c>
      <c r="R69" s="151">
        <f t="shared" si="7"/>
        <v>0</v>
      </c>
      <c r="S69" s="150">
        <f t="shared" si="8"/>
        <v>0</v>
      </c>
      <c r="T69" s="151">
        <f t="shared" si="9"/>
        <v>0</v>
      </c>
      <c r="U69" s="153" t="e">
        <f>+VLOOKUP($M69,Data_Validation!$A:$D,1,0)</f>
        <v>#N/A</v>
      </c>
      <c r="V69" s="153" t="e">
        <f>+VLOOKUP($M69,Data_Validation!$A:$D,3,0)</f>
        <v>#N/A</v>
      </c>
      <c r="W69" s="153" t="e">
        <f>+VLOOKUP($M69,Data_Validation!$A:$D,4,0)</f>
        <v>#N/A</v>
      </c>
      <c r="X69" s="153" t="e">
        <f>+VLOOKUP($M69,Data_Validation!$A:$E,5,0)</f>
        <v>#N/A</v>
      </c>
      <c r="Y69" s="153" t="e">
        <f>+VLOOKUP($M69,Data_Validation!$A:$F,6,0)</f>
        <v>#N/A</v>
      </c>
    </row>
    <row r="70" spans="2:25" ht="15" customHeight="1">
      <c r="B70" s="1398"/>
      <c r="C70" s="1401"/>
      <c r="D70" s="1399"/>
      <c r="E70" s="1399"/>
      <c r="F70" s="1399"/>
      <c r="G70" s="1398"/>
      <c r="H70" s="1398"/>
      <c r="I70" s="1399"/>
      <c r="J70" s="1400"/>
      <c r="K70" s="1400"/>
      <c r="L70" s="1400"/>
      <c r="M70" s="150">
        <f t="shared" si="5"/>
        <v>0</v>
      </c>
      <c r="N70" s="151">
        <f t="shared" si="6"/>
        <v>0</v>
      </c>
      <c r="O70" s="152">
        <f>+IF(OR($R70=Parametres!$G$2,$R70=Parametres!$G$3),J70,D70)</f>
        <v>0</v>
      </c>
      <c r="P70" s="1085">
        <f>+IF(OR($R70=Parametres!$G$2,$R70=Parametres!$G$3),K70,E70)</f>
        <v>0</v>
      </c>
      <c r="Q70" s="152">
        <f>+IF(OR($R70=Parametres!$G$2,$R70=Parametres!$G$3),L70,F70)</f>
        <v>0</v>
      </c>
      <c r="R70" s="151">
        <f t="shared" si="7"/>
        <v>0</v>
      </c>
      <c r="S70" s="150">
        <f t="shared" si="8"/>
        <v>0</v>
      </c>
      <c r="T70" s="151">
        <f t="shared" si="9"/>
        <v>0</v>
      </c>
      <c r="U70" s="153" t="e">
        <f>+VLOOKUP($M70,Data_Validation!$A:$D,1,0)</f>
        <v>#N/A</v>
      </c>
      <c r="V70" s="153" t="e">
        <f>+VLOOKUP($M70,Data_Validation!$A:$D,3,0)</f>
        <v>#N/A</v>
      </c>
      <c r="W70" s="153" t="e">
        <f>+VLOOKUP($M70,Data_Validation!$A:$D,4,0)</f>
        <v>#N/A</v>
      </c>
      <c r="X70" s="153" t="e">
        <f>+VLOOKUP($M70,Data_Validation!$A:$E,5,0)</f>
        <v>#N/A</v>
      </c>
      <c r="Y70" s="153" t="e">
        <f>+VLOOKUP($M70,Data_Validation!$A:$F,6,0)</f>
        <v>#N/A</v>
      </c>
    </row>
    <row r="71" spans="2:25" ht="15" customHeight="1">
      <c r="B71" s="1398"/>
      <c r="C71" s="1401"/>
      <c r="D71" s="1399"/>
      <c r="E71" s="1399"/>
      <c r="F71" s="1399"/>
      <c r="G71" s="1398"/>
      <c r="H71" s="1398"/>
      <c r="I71" s="1399"/>
      <c r="J71" s="1400"/>
      <c r="K71" s="1400"/>
      <c r="L71" s="1400"/>
      <c r="M71" s="150">
        <f t="shared" si="5"/>
        <v>0</v>
      </c>
      <c r="N71" s="151">
        <f t="shared" si="6"/>
        <v>0</v>
      </c>
      <c r="O71" s="152">
        <f>+IF(OR($R71=Parametres!$G$2,$R71=Parametres!$G$3),J71,D71)</f>
        <v>0</v>
      </c>
      <c r="P71" s="1085">
        <f>+IF(OR($R71=Parametres!$G$2,$R71=Parametres!$G$3),K71,E71)</f>
        <v>0</v>
      </c>
      <c r="Q71" s="152">
        <f>+IF(OR($R71=Parametres!$G$2,$R71=Parametres!$G$3),L71,F71)</f>
        <v>0</v>
      </c>
      <c r="R71" s="151">
        <f t="shared" si="7"/>
        <v>0</v>
      </c>
      <c r="S71" s="150">
        <f t="shared" si="8"/>
        <v>0</v>
      </c>
      <c r="T71" s="151">
        <f t="shared" si="9"/>
        <v>0</v>
      </c>
      <c r="U71" s="153" t="e">
        <f>+VLOOKUP($M71,Data_Validation!$A:$D,1,0)</f>
        <v>#N/A</v>
      </c>
      <c r="V71" s="153" t="e">
        <f>+VLOOKUP($M71,Data_Validation!$A:$D,3,0)</f>
        <v>#N/A</v>
      </c>
      <c r="W71" s="153" t="e">
        <f>+VLOOKUP($M71,Data_Validation!$A:$D,4,0)</f>
        <v>#N/A</v>
      </c>
      <c r="X71" s="153" t="e">
        <f>+VLOOKUP($M71,Data_Validation!$A:$E,5,0)</f>
        <v>#N/A</v>
      </c>
      <c r="Y71" s="153" t="e">
        <f>+VLOOKUP($M71,Data_Validation!$A:$F,6,0)</f>
        <v>#N/A</v>
      </c>
    </row>
    <row r="72" spans="2:25" ht="15" customHeight="1">
      <c r="B72" s="1398"/>
      <c r="C72" s="1401"/>
      <c r="D72" s="1400"/>
      <c r="E72" s="1400"/>
      <c r="F72" s="1400"/>
      <c r="G72" s="1398"/>
      <c r="H72" s="1398"/>
      <c r="I72" s="1399"/>
      <c r="J72" s="1399"/>
      <c r="K72" s="1399"/>
      <c r="L72" s="1399"/>
      <c r="M72" s="150">
        <f t="shared" si="5"/>
        <v>0</v>
      </c>
      <c r="N72" s="151">
        <f t="shared" si="6"/>
        <v>0</v>
      </c>
      <c r="O72" s="152">
        <f>+IF(OR($R72=Parametres!$G$2,$R72=Parametres!$G$3),J72,D72)</f>
        <v>0</v>
      </c>
      <c r="P72" s="1083">
        <f>+IF(OR($R72=Parametres!$G$2,$R72=Parametres!$G$3),K72,E72)</f>
        <v>0</v>
      </c>
      <c r="Q72" s="152">
        <f>+IF(OR($R72=Parametres!$G$2,$R72=Parametres!$G$3),L72,F72)</f>
        <v>0</v>
      </c>
      <c r="R72" s="151">
        <f t="shared" si="7"/>
        <v>0</v>
      </c>
      <c r="S72" s="150">
        <f t="shared" si="8"/>
        <v>0</v>
      </c>
      <c r="T72" s="151">
        <f t="shared" si="9"/>
        <v>0</v>
      </c>
      <c r="U72" s="153" t="e">
        <f>+VLOOKUP($M72,Data_Validation!$A:$D,1,0)</f>
        <v>#N/A</v>
      </c>
      <c r="V72" s="153" t="e">
        <f>+VLOOKUP($M72,Data_Validation!$A:$D,3,0)</f>
        <v>#N/A</v>
      </c>
      <c r="W72" s="153" t="e">
        <f>+VLOOKUP($M72,Data_Validation!$A:$D,4,0)</f>
        <v>#N/A</v>
      </c>
      <c r="X72" s="153" t="e">
        <f>+VLOOKUP($M72,Data_Validation!$A:$E,5,0)</f>
        <v>#N/A</v>
      </c>
      <c r="Y72" s="153" t="e">
        <f>+VLOOKUP($M72,Data_Validation!$A:$F,6,0)</f>
        <v>#N/A</v>
      </c>
    </row>
    <row r="73" spans="2:25" ht="15" customHeight="1">
      <c r="B73" s="1398"/>
      <c r="C73" s="1401"/>
      <c r="D73" s="1400"/>
      <c r="E73" s="1400"/>
      <c r="F73" s="1400"/>
      <c r="G73" s="1398"/>
      <c r="H73" s="1398"/>
      <c r="I73" s="1399"/>
      <c r="J73" s="1399"/>
      <c r="K73" s="1399"/>
      <c r="L73" s="1399"/>
      <c r="M73" s="150">
        <f t="shared" si="5"/>
        <v>0</v>
      </c>
      <c r="N73" s="151">
        <f t="shared" si="6"/>
        <v>0</v>
      </c>
      <c r="O73" s="152">
        <f>+IF(OR($R73=Parametres!$G$2,$R73=Parametres!$G$3),J73,D73)</f>
        <v>0</v>
      </c>
      <c r="P73" s="1085">
        <f>+IF(OR($R73=Parametres!$G$2,$R73=Parametres!$G$3),K73,E73)</f>
        <v>0</v>
      </c>
      <c r="Q73" s="152">
        <f>+IF(OR($R73=Parametres!$G$2,$R73=Parametres!$G$3),L73,F73)</f>
        <v>0</v>
      </c>
      <c r="R73" s="151">
        <f t="shared" si="7"/>
        <v>0</v>
      </c>
      <c r="S73" s="150">
        <f t="shared" si="8"/>
        <v>0</v>
      </c>
      <c r="T73" s="151">
        <f t="shared" si="9"/>
        <v>0</v>
      </c>
      <c r="U73" s="153" t="e">
        <f>+VLOOKUP($M73,Data_Validation!$A:$D,1,0)</f>
        <v>#N/A</v>
      </c>
      <c r="V73" s="153" t="e">
        <f>+VLOOKUP($M73,Data_Validation!$A:$D,3,0)</f>
        <v>#N/A</v>
      </c>
      <c r="W73" s="153" t="e">
        <f>+VLOOKUP($M73,Data_Validation!$A:$D,4,0)</f>
        <v>#N/A</v>
      </c>
      <c r="X73" s="153" t="e">
        <f>+VLOOKUP($M73,Data_Validation!$A:$E,5,0)</f>
        <v>#N/A</v>
      </c>
      <c r="Y73" s="153" t="e">
        <f>+VLOOKUP($M73,Data_Validation!$A:$F,6,0)</f>
        <v>#N/A</v>
      </c>
    </row>
    <row r="74" spans="2:25" ht="15" customHeight="1">
      <c r="B74" s="1398"/>
      <c r="C74" s="1401"/>
      <c r="D74" s="1400"/>
      <c r="E74" s="1400"/>
      <c r="F74" s="1400"/>
      <c r="G74" s="1398"/>
      <c r="H74" s="1398"/>
      <c r="I74" s="1399"/>
      <c r="J74" s="1399"/>
      <c r="K74" s="1399"/>
      <c r="L74" s="1399"/>
      <c r="M74" s="150">
        <f t="shared" si="5"/>
        <v>0</v>
      </c>
      <c r="N74" s="151">
        <f t="shared" si="6"/>
        <v>0</v>
      </c>
      <c r="O74" s="152">
        <f>+IF(OR($R74=Parametres!$G$2,$R74=Parametres!$G$3),J74,D74)</f>
        <v>0</v>
      </c>
      <c r="P74" s="1085">
        <f>+IF(OR($R74=Parametres!$G$2,$R74=Parametres!$G$3),K74,E74)</f>
        <v>0</v>
      </c>
      <c r="Q74" s="152">
        <f>+IF(OR($R74=Parametres!$G$2,$R74=Parametres!$G$3),L74,F74)</f>
        <v>0</v>
      </c>
      <c r="R74" s="151">
        <f t="shared" si="7"/>
        <v>0</v>
      </c>
      <c r="S74" s="150">
        <f t="shared" si="8"/>
        <v>0</v>
      </c>
      <c r="T74" s="151">
        <f t="shared" si="9"/>
        <v>0</v>
      </c>
      <c r="U74" s="153" t="e">
        <f>+VLOOKUP($M74,Data_Validation!$A:$D,1,0)</f>
        <v>#N/A</v>
      </c>
      <c r="V74" s="153" t="e">
        <f>+VLOOKUP($M74,Data_Validation!$A:$D,3,0)</f>
        <v>#N/A</v>
      </c>
      <c r="W74" s="153" t="e">
        <f>+VLOOKUP($M74,Data_Validation!$A:$D,4,0)</f>
        <v>#N/A</v>
      </c>
      <c r="X74" s="153" t="e">
        <f>+VLOOKUP($M74,Data_Validation!$A:$E,5,0)</f>
        <v>#N/A</v>
      </c>
      <c r="Y74" s="153" t="e">
        <f>+VLOOKUP($M74,Data_Validation!$A:$F,6,0)</f>
        <v>#N/A</v>
      </c>
    </row>
    <row r="75" spans="2:25" ht="15" customHeight="1">
      <c r="B75" s="1398"/>
      <c r="C75" s="1401"/>
      <c r="D75" s="1400"/>
      <c r="E75" s="1400"/>
      <c r="F75" s="1400"/>
      <c r="G75" s="1398"/>
      <c r="H75" s="1398"/>
      <c r="I75" s="1399"/>
      <c r="J75" s="1399"/>
      <c r="K75" s="1399"/>
      <c r="L75" s="1399"/>
      <c r="M75" s="150">
        <f t="shared" si="5"/>
        <v>0</v>
      </c>
      <c r="N75" s="151">
        <f t="shared" si="6"/>
        <v>0</v>
      </c>
      <c r="O75" s="152">
        <f>+IF(OR($R75=Parametres!$G$2,$R75=Parametres!$G$3),J75,D75)</f>
        <v>0</v>
      </c>
      <c r="P75" s="1085">
        <f>+IF(OR($R75=Parametres!$G$2,$R75=Parametres!$G$3),K75,E75)</f>
        <v>0</v>
      </c>
      <c r="Q75" s="152">
        <f>+IF(OR($R75=Parametres!$G$2,$R75=Parametres!$G$3),L75,F75)</f>
        <v>0</v>
      </c>
      <c r="R75" s="151">
        <f t="shared" si="7"/>
        <v>0</v>
      </c>
      <c r="S75" s="150">
        <f t="shared" si="8"/>
        <v>0</v>
      </c>
      <c r="T75" s="151">
        <f t="shared" si="9"/>
        <v>0</v>
      </c>
      <c r="U75" s="153" t="e">
        <f>+VLOOKUP($M75,Data_Validation!$A:$D,1,0)</f>
        <v>#N/A</v>
      </c>
      <c r="V75" s="153" t="e">
        <f>+VLOOKUP($M75,Data_Validation!$A:$D,3,0)</f>
        <v>#N/A</v>
      </c>
      <c r="W75" s="153" t="e">
        <f>+VLOOKUP($M75,Data_Validation!$A:$D,4,0)</f>
        <v>#N/A</v>
      </c>
      <c r="X75" s="153" t="e">
        <f>+VLOOKUP($M75,Data_Validation!$A:$E,5,0)</f>
        <v>#N/A</v>
      </c>
      <c r="Y75" s="153" t="e">
        <f>+VLOOKUP($M75,Data_Validation!$A:$F,6,0)</f>
        <v>#N/A</v>
      </c>
    </row>
    <row r="76" spans="2:25" ht="15" customHeight="1">
      <c r="B76" s="1398"/>
      <c r="C76" s="1401"/>
      <c r="D76" s="1400"/>
      <c r="E76" s="1400"/>
      <c r="F76" s="1400"/>
      <c r="G76" s="1398"/>
      <c r="H76" s="1398"/>
      <c r="I76" s="1399"/>
      <c r="J76" s="1399"/>
      <c r="K76" s="1399"/>
      <c r="L76" s="1399"/>
      <c r="M76" s="150">
        <f t="shared" si="5"/>
        <v>0</v>
      </c>
      <c r="N76" s="151">
        <f t="shared" si="6"/>
        <v>0</v>
      </c>
      <c r="O76" s="152">
        <f>+IF(OR($R76=Parametres!$G$2,$R76=Parametres!$G$3),J76,D76)</f>
        <v>0</v>
      </c>
      <c r="P76" s="1085">
        <f>+IF(OR($R76=Parametres!$G$2,$R76=Parametres!$G$3),K76,E76)</f>
        <v>0</v>
      </c>
      <c r="Q76" s="152">
        <f>+IF(OR($R76=Parametres!$G$2,$R76=Parametres!$G$3),L76,F76)</f>
        <v>0</v>
      </c>
      <c r="R76" s="151">
        <f t="shared" si="7"/>
        <v>0</v>
      </c>
      <c r="S76" s="150">
        <f t="shared" si="8"/>
        <v>0</v>
      </c>
      <c r="T76" s="151">
        <f t="shared" si="9"/>
        <v>0</v>
      </c>
      <c r="U76" s="153" t="e">
        <f>+VLOOKUP($M76,Data_Validation!$A:$D,1,0)</f>
        <v>#N/A</v>
      </c>
      <c r="V76" s="153" t="e">
        <f>+VLOOKUP($M76,Data_Validation!$A:$D,3,0)</f>
        <v>#N/A</v>
      </c>
      <c r="W76" s="153" t="e">
        <f>+VLOOKUP($M76,Data_Validation!$A:$D,4,0)</f>
        <v>#N/A</v>
      </c>
      <c r="X76" s="153" t="e">
        <f>+VLOOKUP($M76,Data_Validation!$A:$E,5,0)</f>
        <v>#N/A</v>
      </c>
      <c r="Y76" s="153" t="e">
        <f>+VLOOKUP($M76,Data_Validation!$A:$F,6,0)</f>
        <v>#N/A</v>
      </c>
    </row>
    <row r="77" spans="2:25" ht="15" customHeight="1">
      <c r="B77" s="1398"/>
      <c r="C77" s="1401"/>
      <c r="D77" s="1400"/>
      <c r="E77" s="1400"/>
      <c r="F77" s="1400"/>
      <c r="G77" s="1398"/>
      <c r="H77" s="1398"/>
      <c r="I77" s="1399"/>
      <c r="J77" s="1399"/>
      <c r="K77" s="1399"/>
      <c r="L77" s="1399"/>
      <c r="M77" s="150">
        <f t="shared" si="5"/>
        <v>0</v>
      </c>
      <c r="N77" s="151">
        <f t="shared" si="6"/>
        <v>0</v>
      </c>
      <c r="O77" s="152">
        <f>+IF(OR($R77=Parametres!$G$2,$R77=Parametres!$G$3),J77,D77)</f>
        <v>0</v>
      </c>
      <c r="P77" s="1085">
        <f>+IF(OR($R77=Parametres!$G$2,$R77=Parametres!$G$3),K77,E77)</f>
        <v>0</v>
      </c>
      <c r="Q77" s="152">
        <f>+IF(OR($R77=Parametres!$G$2,$R77=Parametres!$G$3),L77,F77)</f>
        <v>0</v>
      </c>
      <c r="R77" s="151">
        <f t="shared" si="7"/>
        <v>0</v>
      </c>
      <c r="S77" s="150">
        <f t="shared" si="8"/>
        <v>0</v>
      </c>
      <c r="T77" s="151">
        <f t="shared" si="9"/>
        <v>0</v>
      </c>
      <c r="U77" s="153" t="e">
        <f>+VLOOKUP($M77,Data_Validation!$A:$D,1,0)</f>
        <v>#N/A</v>
      </c>
      <c r="V77" s="153" t="e">
        <f>+VLOOKUP($M77,Data_Validation!$A:$D,3,0)</f>
        <v>#N/A</v>
      </c>
      <c r="W77" s="153" t="e">
        <f>+VLOOKUP($M77,Data_Validation!$A:$D,4,0)</f>
        <v>#N/A</v>
      </c>
      <c r="X77" s="153" t="e">
        <f>+VLOOKUP($M77,Data_Validation!$A:$E,5,0)</f>
        <v>#N/A</v>
      </c>
      <c r="Y77" s="153" t="e">
        <f>+VLOOKUP($M77,Data_Validation!$A:$F,6,0)</f>
        <v>#N/A</v>
      </c>
    </row>
    <row r="78" spans="2:25" ht="15" customHeight="1">
      <c r="B78" s="1398"/>
      <c r="C78" s="1401"/>
      <c r="D78" s="1400"/>
      <c r="E78" s="1400"/>
      <c r="F78" s="1400"/>
      <c r="G78" s="1398"/>
      <c r="H78" s="1398"/>
      <c r="I78" s="1399"/>
      <c r="J78" s="1399"/>
      <c r="K78" s="1399"/>
      <c r="L78" s="1399"/>
      <c r="M78" s="150">
        <f t="shared" si="5"/>
        <v>0</v>
      </c>
      <c r="N78" s="151">
        <f t="shared" si="6"/>
        <v>0</v>
      </c>
      <c r="O78" s="152">
        <f>+IF(OR($R78=Parametres!$G$2,$R78=Parametres!$G$3),J78,D78)</f>
        <v>0</v>
      </c>
      <c r="P78" s="1085">
        <f>+IF(OR($R78=Parametres!$G$2,$R78=Parametres!$G$3),K78,E78)</f>
        <v>0</v>
      </c>
      <c r="Q78" s="152">
        <f>+IF(OR($R78=Parametres!$G$2,$R78=Parametres!$G$3),L78,F78)</f>
        <v>0</v>
      </c>
      <c r="R78" s="151">
        <f t="shared" si="7"/>
        <v>0</v>
      </c>
      <c r="S78" s="150">
        <f t="shared" si="8"/>
        <v>0</v>
      </c>
      <c r="T78" s="151">
        <f t="shared" si="9"/>
        <v>0</v>
      </c>
      <c r="U78" s="153" t="e">
        <f>+VLOOKUP($M78,Data_Validation!$A:$D,1,0)</f>
        <v>#N/A</v>
      </c>
      <c r="V78" s="153" t="e">
        <f>+VLOOKUP($M78,Data_Validation!$A:$D,3,0)</f>
        <v>#N/A</v>
      </c>
      <c r="W78" s="153" t="e">
        <f>+VLOOKUP($M78,Data_Validation!$A:$D,4,0)</f>
        <v>#N/A</v>
      </c>
      <c r="X78" s="153" t="e">
        <f>+VLOOKUP($M78,Data_Validation!$A:$E,5,0)</f>
        <v>#N/A</v>
      </c>
      <c r="Y78" s="153" t="e">
        <f>+VLOOKUP($M78,Data_Validation!$A:$F,6,0)</f>
        <v>#N/A</v>
      </c>
    </row>
    <row r="79" spans="2:25" ht="15" customHeight="1">
      <c r="B79" s="1398"/>
      <c r="C79" s="1401"/>
      <c r="D79" s="1400"/>
      <c r="E79" s="1400"/>
      <c r="F79" s="1400"/>
      <c r="G79" s="1398"/>
      <c r="H79" s="1398"/>
      <c r="I79" s="1399"/>
      <c r="J79" s="1399"/>
      <c r="K79" s="1399"/>
      <c r="L79" s="1399"/>
      <c r="M79" s="150">
        <f t="shared" si="5"/>
        <v>0</v>
      </c>
      <c r="N79" s="151">
        <f t="shared" si="6"/>
        <v>0</v>
      </c>
      <c r="O79" s="152">
        <f>+IF(OR($R79=Parametres!$G$2,$R79=Parametres!$G$3),J79,D79)</f>
        <v>0</v>
      </c>
      <c r="P79" s="1085">
        <f>+IF(OR($R79=Parametres!$G$2,$R79=Parametres!$G$3),K79,E79)</f>
        <v>0</v>
      </c>
      <c r="Q79" s="152">
        <f>+IF(OR($R79=Parametres!$G$2,$R79=Parametres!$G$3),L79,F79)</f>
        <v>0</v>
      </c>
      <c r="R79" s="151">
        <f t="shared" si="7"/>
        <v>0</v>
      </c>
      <c r="S79" s="150">
        <f t="shared" si="8"/>
        <v>0</v>
      </c>
      <c r="T79" s="151">
        <f t="shared" si="9"/>
        <v>0</v>
      </c>
      <c r="U79" s="153" t="e">
        <f>+VLOOKUP($M79,Data_Validation!$A:$D,1,0)</f>
        <v>#N/A</v>
      </c>
      <c r="V79" s="153" t="e">
        <f>+VLOOKUP($M79,Data_Validation!$A:$D,3,0)</f>
        <v>#N/A</v>
      </c>
      <c r="W79" s="153" t="e">
        <f>+VLOOKUP($M79,Data_Validation!$A:$D,4,0)</f>
        <v>#N/A</v>
      </c>
      <c r="X79" s="153" t="e">
        <f>+VLOOKUP($M79,Data_Validation!$A:$E,5,0)</f>
        <v>#N/A</v>
      </c>
      <c r="Y79" s="153" t="e">
        <f>+VLOOKUP($M79,Data_Validation!$A:$F,6,0)</f>
        <v>#N/A</v>
      </c>
    </row>
    <row r="80" spans="2:25" ht="15.75" customHeight="1">
      <c r="B80" s="1398"/>
      <c r="C80" s="1401"/>
      <c r="D80" s="1400"/>
      <c r="E80" s="1400"/>
      <c r="F80" s="1400"/>
      <c r="G80" s="1398"/>
      <c r="H80" s="1398"/>
      <c r="I80" s="1399"/>
      <c r="J80" s="1399"/>
      <c r="K80" s="1399"/>
      <c r="L80" s="1399"/>
      <c r="M80" s="150">
        <f t="shared" si="5"/>
        <v>0</v>
      </c>
      <c r="N80" s="151">
        <f t="shared" si="6"/>
        <v>0</v>
      </c>
      <c r="O80" s="152">
        <f>+IF(OR($R80=Parametres!$G$2,$R80=Parametres!$G$3),J80,D80)</f>
        <v>0</v>
      </c>
      <c r="P80" s="1085">
        <f>+IF(OR($R80=Parametres!$G$2,$R80=Parametres!$G$3),K80,E80)</f>
        <v>0</v>
      </c>
      <c r="Q80" s="152">
        <f>+IF(OR($R80=Parametres!$G$2,$R80=Parametres!$G$3),L80,F80)</f>
        <v>0</v>
      </c>
      <c r="R80" s="151">
        <f t="shared" si="7"/>
        <v>0</v>
      </c>
      <c r="S80" s="150">
        <f t="shared" si="8"/>
        <v>0</v>
      </c>
      <c r="T80" s="151">
        <f t="shared" si="9"/>
        <v>0</v>
      </c>
      <c r="U80" s="153" t="e">
        <f>+VLOOKUP($M80,Data_Validation!$A:$D,1,0)</f>
        <v>#N/A</v>
      </c>
      <c r="V80" s="153" t="e">
        <f>+VLOOKUP($M80,Data_Validation!$A:$D,3,0)</f>
        <v>#N/A</v>
      </c>
      <c r="W80" s="153" t="e">
        <f>+VLOOKUP($M80,Data_Validation!$A:$D,4,0)</f>
        <v>#N/A</v>
      </c>
      <c r="X80" s="153" t="e">
        <f>+VLOOKUP($M80,Data_Validation!$A:$E,5,0)</f>
        <v>#N/A</v>
      </c>
      <c r="Y80" s="153" t="e">
        <f>+VLOOKUP($M80,Data_Validation!$A:$F,6,0)</f>
        <v>#N/A</v>
      </c>
    </row>
    <row r="81" spans="2:25" ht="15" customHeight="1">
      <c r="B81" s="1398"/>
      <c r="C81" s="1401"/>
      <c r="D81" s="1400"/>
      <c r="E81" s="1400"/>
      <c r="F81" s="1400"/>
      <c r="G81" s="1398"/>
      <c r="H81" s="1398"/>
      <c r="I81" s="1399"/>
      <c r="J81" s="1399"/>
      <c r="K81" s="1399"/>
      <c r="L81" s="1399"/>
      <c r="M81" s="150">
        <f t="shared" si="5"/>
        <v>0</v>
      </c>
      <c r="N81" s="151">
        <f t="shared" si="6"/>
        <v>0</v>
      </c>
      <c r="O81" s="152">
        <f>+IF(OR($R81=Parametres!$G$2,$R81=Parametres!$G$3),J81,D81)</f>
        <v>0</v>
      </c>
      <c r="P81" s="1085">
        <f>+IF(OR($R81=Parametres!$G$2,$R81=Parametres!$G$3),K81,E81)</f>
        <v>0</v>
      </c>
      <c r="Q81" s="152">
        <f>+IF(OR($R81=Parametres!$G$2,$R81=Parametres!$G$3),L81,F81)</f>
        <v>0</v>
      </c>
      <c r="R81" s="151">
        <f t="shared" si="7"/>
        <v>0</v>
      </c>
      <c r="S81" s="150">
        <f t="shared" si="8"/>
        <v>0</v>
      </c>
      <c r="T81" s="151">
        <f t="shared" si="9"/>
        <v>0</v>
      </c>
      <c r="U81" s="153" t="e">
        <f>+VLOOKUP($M81,Data_Validation!$A:$D,1,0)</f>
        <v>#N/A</v>
      </c>
      <c r="V81" s="153" t="e">
        <f>+VLOOKUP($M81,Data_Validation!$A:$D,3,0)</f>
        <v>#N/A</v>
      </c>
      <c r="W81" s="153" t="e">
        <f>+VLOOKUP($M81,Data_Validation!$A:$D,4,0)</f>
        <v>#N/A</v>
      </c>
      <c r="X81" s="153" t="e">
        <f>+VLOOKUP($M81,Data_Validation!$A:$E,5,0)</f>
        <v>#N/A</v>
      </c>
      <c r="Y81" s="153" t="e">
        <f>+VLOOKUP($M81,Data_Validation!$A:$F,6,0)</f>
        <v>#N/A</v>
      </c>
    </row>
    <row r="82" spans="2:25" ht="15" customHeight="1">
      <c r="B82" s="1398"/>
      <c r="C82" s="1401"/>
      <c r="D82" s="1400"/>
      <c r="E82" s="1400"/>
      <c r="F82" s="1400"/>
      <c r="G82" s="1398"/>
      <c r="H82" s="1398"/>
      <c r="I82" s="1399"/>
      <c r="J82" s="1399"/>
      <c r="K82" s="1399"/>
      <c r="L82" s="1399"/>
      <c r="M82" s="150">
        <f t="shared" si="5"/>
        <v>0</v>
      </c>
      <c r="N82" s="151">
        <f t="shared" si="6"/>
        <v>0</v>
      </c>
      <c r="O82" s="152">
        <f>+IF(OR($R82=Parametres!$G$2,$R82=Parametres!$G$3),J82,D82)</f>
        <v>0</v>
      </c>
      <c r="P82" s="1085">
        <f>+IF(OR($R82=Parametres!$G$2,$R82=Parametres!$G$3),K82,E82)</f>
        <v>0</v>
      </c>
      <c r="Q82" s="152">
        <f>+IF(OR($R82=Parametres!$G$2,$R82=Parametres!$G$3),L82,F82)</f>
        <v>0</v>
      </c>
      <c r="R82" s="151">
        <f t="shared" si="7"/>
        <v>0</v>
      </c>
      <c r="S82" s="150">
        <f t="shared" si="8"/>
        <v>0</v>
      </c>
      <c r="T82" s="151">
        <f t="shared" si="9"/>
        <v>0</v>
      </c>
      <c r="U82" s="153" t="e">
        <f>+VLOOKUP($M82,Data_Validation!$A:$D,1,0)</f>
        <v>#N/A</v>
      </c>
      <c r="V82" s="153" t="e">
        <f>+VLOOKUP($M82,Data_Validation!$A:$D,3,0)</f>
        <v>#N/A</v>
      </c>
      <c r="W82" s="153" t="e">
        <f>+VLOOKUP($M82,Data_Validation!$A:$D,4,0)</f>
        <v>#N/A</v>
      </c>
      <c r="X82" s="153" t="e">
        <f>+VLOOKUP($M82,Data_Validation!$A:$E,5,0)</f>
        <v>#N/A</v>
      </c>
      <c r="Y82" s="153" t="e">
        <f>+VLOOKUP($M82,Data_Validation!$A:$F,6,0)</f>
        <v>#N/A</v>
      </c>
    </row>
    <row r="83" spans="2:25" ht="15" customHeight="1">
      <c r="B83" s="1398"/>
      <c r="C83" s="1401"/>
      <c r="D83" s="1400"/>
      <c r="E83" s="1400"/>
      <c r="F83" s="1400"/>
      <c r="G83" s="1398"/>
      <c r="H83" s="1398"/>
      <c r="I83" s="1399"/>
      <c r="J83" s="1399"/>
      <c r="K83" s="1399"/>
      <c r="L83" s="1399"/>
      <c r="M83" s="150">
        <f t="shared" si="5"/>
        <v>0</v>
      </c>
      <c r="N83" s="151">
        <f t="shared" si="6"/>
        <v>0</v>
      </c>
      <c r="O83" s="152">
        <f>+IF(OR($R83=Parametres!$G$2,$R83=Parametres!$G$3),J83,D83)</f>
        <v>0</v>
      </c>
      <c r="P83" s="1085">
        <f>+IF(OR($R83=Parametres!$G$2,$R83=Parametres!$G$3),K83,E83)</f>
        <v>0</v>
      </c>
      <c r="Q83" s="152">
        <f>+IF(OR($R83=Parametres!$G$2,$R83=Parametres!$G$3),L83,F83)</f>
        <v>0</v>
      </c>
      <c r="R83" s="151">
        <f t="shared" si="7"/>
        <v>0</v>
      </c>
      <c r="S83" s="150">
        <f t="shared" si="8"/>
        <v>0</v>
      </c>
      <c r="T83" s="151">
        <f t="shared" si="9"/>
        <v>0</v>
      </c>
      <c r="U83" s="153" t="e">
        <f>+VLOOKUP($M83,Data_Validation!$A:$D,1,0)</f>
        <v>#N/A</v>
      </c>
      <c r="V83" s="153" t="e">
        <f>+VLOOKUP($M83,Data_Validation!$A:$D,3,0)</f>
        <v>#N/A</v>
      </c>
      <c r="W83" s="153" t="e">
        <f>+VLOOKUP($M83,Data_Validation!$A:$D,4,0)</f>
        <v>#N/A</v>
      </c>
      <c r="X83" s="153" t="e">
        <f>+VLOOKUP($M83,Data_Validation!$A:$E,5,0)</f>
        <v>#N/A</v>
      </c>
      <c r="Y83" s="153" t="e">
        <f>+VLOOKUP($M83,Data_Validation!$A:$F,6,0)</f>
        <v>#N/A</v>
      </c>
    </row>
    <row r="84" spans="2:25" ht="15.75" customHeight="1">
      <c r="B84" s="1398"/>
      <c r="C84" s="1401"/>
      <c r="D84" s="1400"/>
      <c r="E84" s="1400"/>
      <c r="F84" s="1400"/>
      <c r="G84" s="1398"/>
      <c r="H84" s="1398"/>
      <c r="I84" s="1399"/>
      <c r="J84" s="1399"/>
      <c r="K84" s="1399"/>
      <c r="L84" s="1399"/>
      <c r="M84" s="150">
        <f t="shared" si="5"/>
        <v>0</v>
      </c>
      <c r="N84" s="151">
        <f t="shared" si="6"/>
        <v>0</v>
      </c>
      <c r="O84" s="152">
        <f>+IF(OR($R84=Parametres!$G$2,$R84=Parametres!$G$3),J84,D84)</f>
        <v>0</v>
      </c>
      <c r="P84" s="1085">
        <f>+IF(OR($R84=Parametres!$G$2,$R84=Parametres!$G$3),K84,E84)</f>
        <v>0</v>
      </c>
      <c r="Q84" s="1209">
        <f>+IF(OR($R84=Parametres!$G$2,$R84=Parametres!$G$3),L84,F84)</f>
        <v>0</v>
      </c>
      <c r="R84" s="151">
        <f t="shared" si="7"/>
        <v>0</v>
      </c>
      <c r="S84" s="150">
        <f t="shared" si="8"/>
        <v>0</v>
      </c>
      <c r="T84" s="151">
        <f t="shared" si="9"/>
        <v>0</v>
      </c>
      <c r="U84" s="153" t="e">
        <f>+VLOOKUP($M84,Data_Validation!$A:$D,1,0)</f>
        <v>#N/A</v>
      </c>
      <c r="V84" s="153" t="e">
        <f>+VLOOKUP($M84,Data_Validation!$A:$D,3,0)</f>
        <v>#N/A</v>
      </c>
      <c r="W84" s="153" t="e">
        <f>+VLOOKUP($M84,Data_Validation!$A:$D,4,0)</f>
        <v>#N/A</v>
      </c>
      <c r="X84" s="153" t="e">
        <f>+VLOOKUP($M84,Data_Validation!$A:$E,5,0)</f>
        <v>#N/A</v>
      </c>
      <c r="Y84" s="153" t="e">
        <f>+VLOOKUP($M84,Data_Validation!$A:$F,6,0)</f>
        <v>#N/A</v>
      </c>
    </row>
    <row r="85" spans="2:25" ht="15" customHeight="1">
      <c r="B85" s="1398"/>
      <c r="C85" s="1401"/>
      <c r="D85" s="1400"/>
      <c r="E85" s="1400"/>
      <c r="F85" s="1400"/>
      <c r="G85" s="1398"/>
      <c r="H85" s="1398"/>
      <c r="I85" s="1399"/>
      <c r="J85" s="1399"/>
      <c r="K85" s="1399"/>
      <c r="L85" s="1399"/>
      <c r="M85" s="150">
        <f t="shared" si="5"/>
        <v>0</v>
      </c>
      <c r="N85" s="151">
        <f t="shared" si="6"/>
        <v>0</v>
      </c>
      <c r="O85" s="152">
        <f>+IF(OR($R85=Parametres!$G$2,$R85=Parametres!$G$3),J85,D85)</f>
        <v>0</v>
      </c>
      <c r="P85" s="1085">
        <f>+IF(OR($R85=Parametres!$G$2,$R85=Parametres!$G$3),K85,E85)</f>
        <v>0</v>
      </c>
      <c r="Q85" s="1209">
        <f>+IF(OR($R85=Parametres!$G$2,$R85=Parametres!$G$3),L85,F85)</f>
        <v>0</v>
      </c>
      <c r="R85" s="151">
        <f t="shared" si="7"/>
        <v>0</v>
      </c>
      <c r="S85" s="150">
        <f t="shared" si="8"/>
        <v>0</v>
      </c>
      <c r="T85" s="151">
        <f t="shared" si="9"/>
        <v>0</v>
      </c>
      <c r="U85" s="153" t="e">
        <f>+VLOOKUP($M85,Data_Validation!$A:$D,1,0)</f>
        <v>#N/A</v>
      </c>
      <c r="V85" s="153" t="e">
        <f>+VLOOKUP($M85,Data_Validation!$A:$D,3,0)</f>
        <v>#N/A</v>
      </c>
      <c r="W85" s="153" t="e">
        <f>+VLOOKUP($M85,Data_Validation!$A:$D,4,0)</f>
        <v>#N/A</v>
      </c>
      <c r="X85" s="153" t="e">
        <f>+VLOOKUP($M85,Data_Validation!$A:$E,5,0)</f>
        <v>#N/A</v>
      </c>
      <c r="Y85" s="153" t="e">
        <f>+VLOOKUP($M85,Data_Validation!$A:$F,6,0)</f>
        <v>#N/A</v>
      </c>
    </row>
    <row r="86" spans="2:25" ht="15" customHeight="1">
      <c r="B86" s="1398"/>
      <c r="C86" s="1401"/>
      <c r="D86" s="1400"/>
      <c r="E86" s="1400"/>
      <c r="F86" s="1400"/>
      <c r="G86" s="1398"/>
      <c r="H86" s="1398"/>
      <c r="I86" s="1399"/>
      <c r="J86" s="1399"/>
      <c r="K86" s="1399"/>
      <c r="L86" s="1399"/>
      <c r="M86" s="150">
        <f t="shared" si="5"/>
        <v>0</v>
      </c>
      <c r="N86" s="151">
        <f t="shared" si="6"/>
        <v>0</v>
      </c>
      <c r="O86" s="152">
        <f>+IF(OR($R86=Parametres!$G$2,$R86=Parametres!$G$3),J86,D86)</f>
        <v>0</v>
      </c>
      <c r="P86" s="1085">
        <f>+IF(OR($R86=Parametres!$G$2,$R86=Parametres!$G$3),K86,E86)</f>
        <v>0</v>
      </c>
      <c r="Q86" s="1209">
        <f>+IF(OR($R86=Parametres!$G$2,$R86=Parametres!$G$3),L86,F86)</f>
        <v>0</v>
      </c>
      <c r="R86" s="151">
        <f t="shared" si="7"/>
        <v>0</v>
      </c>
      <c r="S86" s="150">
        <f t="shared" si="8"/>
        <v>0</v>
      </c>
      <c r="T86" s="151">
        <f t="shared" si="9"/>
        <v>0</v>
      </c>
      <c r="U86" s="153" t="e">
        <f>+VLOOKUP($M86,Data_Validation!$A:$D,1,0)</f>
        <v>#N/A</v>
      </c>
      <c r="V86" s="153" t="e">
        <f>+VLOOKUP($M86,Data_Validation!$A:$D,3,0)</f>
        <v>#N/A</v>
      </c>
      <c r="W86" s="153" t="e">
        <f>+VLOOKUP($M86,Data_Validation!$A:$D,4,0)</f>
        <v>#N/A</v>
      </c>
      <c r="X86" s="153" t="e">
        <f>+VLOOKUP($M86,Data_Validation!$A:$E,5,0)</f>
        <v>#N/A</v>
      </c>
      <c r="Y86" s="153" t="e">
        <f>+VLOOKUP($M86,Data_Validation!$A:$F,6,0)</f>
        <v>#N/A</v>
      </c>
    </row>
    <row r="87" spans="2:25" ht="15" customHeight="1">
      <c r="B87" s="1398"/>
      <c r="C87" s="1401"/>
      <c r="D87" s="1400"/>
      <c r="E87" s="1400"/>
      <c r="F87" s="1400"/>
      <c r="G87" s="1398"/>
      <c r="H87" s="1398"/>
      <c r="I87" s="1399"/>
      <c r="J87" s="1399"/>
      <c r="K87" s="1399"/>
      <c r="L87" s="1399"/>
      <c r="M87" s="150">
        <f t="shared" si="5"/>
        <v>0</v>
      </c>
      <c r="N87" s="151">
        <f t="shared" si="6"/>
        <v>0</v>
      </c>
      <c r="O87" s="152">
        <f>+IF(OR($R87=Parametres!$G$2,$R87=Parametres!$G$3),J87,D87)</f>
        <v>0</v>
      </c>
      <c r="P87" s="1085">
        <f>+IF(OR($R87=Parametres!$G$2,$R87=Parametres!$G$3),K87,E87)</f>
        <v>0</v>
      </c>
      <c r="Q87" s="1209">
        <f>+IF(OR($R87=Parametres!$G$2,$R87=Parametres!$G$3),L87,F87)</f>
        <v>0</v>
      </c>
      <c r="R87" s="151">
        <f t="shared" si="7"/>
        <v>0</v>
      </c>
      <c r="S87" s="150">
        <f t="shared" si="8"/>
        <v>0</v>
      </c>
      <c r="T87" s="151">
        <f t="shared" si="9"/>
        <v>0</v>
      </c>
      <c r="U87" s="153" t="e">
        <f>+VLOOKUP($M87,Data_Validation!$A:$D,1,0)</f>
        <v>#N/A</v>
      </c>
      <c r="V87" s="153" t="e">
        <f>+VLOOKUP($M87,Data_Validation!$A:$D,3,0)</f>
        <v>#N/A</v>
      </c>
      <c r="W87" s="153" t="e">
        <f>+VLOOKUP($M87,Data_Validation!$A:$D,4,0)</f>
        <v>#N/A</v>
      </c>
      <c r="X87" s="153" t="e">
        <f>+VLOOKUP($M87,Data_Validation!$A:$E,5,0)</f>
        <v>#N/A</v>
      </c>
      <c r="Y87" s="153" t="e">
        <f>+VLOOKUP($M87,Data_Validation!$A:$F,6,0)</f>
        <v>#N/A</v>
      </c>
    </row>
    <row r="88" spans="2:25" ht="15" customHeight="1">
      <c r="B88" s="1398"/>
      <c r="C88" s="1401"/>
      <c r="D88" s="1400"/>
      <c r="E88" s="1400"/>
      <c r="F88" s="1400"/>
      <c r="G88" s="1398"/>
      <c r="H88" s="1398"/>
      <c r="I88" s="1399"/>
      <c r="J88" s="1399"/>
      <c r="K88" s="1399"/>
      <c r="L88" s="1399"/>
      <c r="M88" s="150">
        <f t="shared" si="5"/>
        <v>0</v>
      </c>
      <c r="N88" s="151">
        <f t="shared" si="6"/>
        <v>0</v>
      </c>
      <c r="O88" s="152">
        <f>+IF(OR($R88=Parametres!$G$2,$R88=Parametres!$G$3),J88,D88)</f>
        <v>0</v>
      </c>
      <c r="P88" s="1085">
        <f>+IF(OR($R88=Parametres!$G$2,$R88=Parametres!$G$3),K88,E88)</f>
        <v>0</v>
      </c>
      <c r="Q88" s="152">
        <f>+IF(OR($R88=Parametres!$G$2,$R88=Parametres!$G$3),L88,F88)</f>
        <v>0</v>
      </c>
      <c r="R88" s="151">
        <f t="shared" si="7"/>
        <v>0</v>
      </c>
      <c r="S88" s="150">
        <f t="shared" si="8"/>
        <v>0</v>
      </c>
      <c r="T88" s="151">
        <f t="shared" si="9"/>
        <v>0</v>
      </c>
      <c r="U88" s="153" t="e">
        <f>+VLOOKUP($M88,Data_Validation!$A:$D,1,0)</f>
        <v>#N/A</v>
      </c>
      <c r="V88" s="153" t="e">
        <f>+VLOOKUP($M88,Data_Validation!$A:$D,3,0)</f>
        <v>#N/A</v>
      </c>
      <c r="W88" s="153" t="e">
        <f>+VLOOKUP($M88,Data_Validation!$A:$D,4,0)</f>
        <v>#N/A</v>
      </c>
      <c r="X88" s="153" t="e">
        <f>+VLOOKUP($M88,Data_Validation!$A:$E,5,0)</f>
        <v>#N/A</v>
      </c>
      <c r="Y88" s="153" t="e">
        <f>+VLOOKUP($M88,Data_Validation!$A:$F,6,0)</f>
        <v>#N/A</v>
      </c>
    </row>
    <row r="89" spans="2:25" ht="15" customHeight="1">
      <c r="B89" s="1398"/>
      <c r="C89" s="1401"/>
      <c r="D89" s="1400"/>
      <c r="E89" s="1400"/>
      <c r="F89" s="1400"/>
      <c r="G89" s="1398"/>
      <c r="H89" s="1398"/>
      <c r="I89" s="1399"/>
      <c r="J89" s="1399"/>
      <c r="K89" s="1399"/>
      <c r="L89" s="1399"/>
      <c r="M89" s="150">
        <f t="shared" si="5"/>
        <v>0</v>
      </c>
      <c r="N89" s="151">
        <f t="shared" si="6"/>
        <v>0</v>
      </c>
      <c r="O89" s="152">
        <f>+IF(OR($R89=Parametres!$G$2,$R89=Parametres!$G$3),J89,D89)</f>
        <v>0</v>
      </c>
      <c r="P89" s="1083">
        <f>+IF(OR($R89=Parametres!$G$2,$R89=Parametres!$G$3),K89,E89)</f>
        <v>0</v>
      </c>
      <c r="Q89" s="152">
        <f>+IF(OR($R89=Parametres!$G$2,$R89=Parametres!$G$3),L89,F89)</f>
        <v>0</v>
      </c>
      <c r="R89" s="151">
        <f t="shared" si="7"/>
        <v>0</v>
      </c>
      <c r="S89" s="150">
        <f t="shared" si="8"/>
        <v>0</v>
      </c>
      <c r="T89" s="151">
        <f t="shared" si="9"/>
        <v>0</v>
      </c>
      <c r="U89" s="153" t="e">
        <f>+VLOOKUP($M89,Data_Validation!$A:$D,1,0)</f>
        <v>#N/A</v>
      </c>
      <c r="V89" s="153" t="e">
        <f>+VLOOKUP($M89,Data_Validation!$A:$D,3,0)</f>
        <v>#N/A</v>
      </c>
      <c r="W89" s="153" t="e">
        <f>+VLOOKUP($M89,Data_Validation!$A:$D,4,0)</f>
        <v>#N/A</v>
      </c>
      <c r="X89" s="153" t="e">
        <f>+VLOOKUP($M89,Data_Validation!$A:$E,5,0)</f>
        <v>#N/A</v>
      </c>
      <c r="Y89" s="153" t="e">
        <f>+VLOOKUP($M89,Data_Validation!$A:$F,6,0)</f>
        <v>#N/A</v>
      </c>
    </row>
    <row r="90" spans="2:25" ht="15" customHeight="1">
      <c r="B90" s="1398"/>
      <c r="C90" s="1401"/>
      <c r="D90" s="1400"/>
      <c r="E90" s="1400"/>
      <c r="F90" s="1400"/>
      <c r="G90" s="1398"/>
      <c r="H90" s="1398"/>
      <c r="I90" s="1399"/>
      <c r="J90" s="1399"/>
      <c r="K90" s="1399"/>
      <c r="L90" s="1399"/>
      <c r="M90" s="150">
        <f t="shared" si="5"/>
        <v>0</v>
      </c>
      <c r="N90" s="151">
        <f t="shared" si="6"/>
        <v>0</v>
      </c>
      <c r="O90" s="152">
        <f>+IF(OR($R90=Parametres!$G$2,$R90=Parametres!$G$3),J90,D90)</f>
        <v>0</v>
      </c>
      <c r="P90" s="1085">
        <f>+IF(OR($R90=Parametres!$G$2,$R90=Parametres!$G$3),K90,E90)</f>
        <v>0</v>
      </c>
      <c r="Q90" s="1381">
        <f>+IF(OR($R90=Parametres!$G$2,$R90=Parametres!$G$3),L90,F90)</f>
        <v>0</v>
      </c>
      <c r="R90" s="151">
        <f t="shared" si="7"/>
        <v>0</v>
      </c>
      <c r="S90" s="150">
        <f t="shared" si="8"/>
        <v>0</v>
      </c>
      <c r="T90" s="151">
        <f t="shared" si="9"/>
        <v>0</v>
      </c>
      <c r="U90" s="153" t="e">
        <f>+VLOOKUP($M90,Data_Validation!$A:$D,1,0)</f>
        <v>#N/A</v>
      </c>
      <c r="V90" s="153" t="e">
        <f>+VLOOKUP($M90,Data_Validation!$A:$D,3,0)</f>
        <v>#N/A</v>
      </c>
      <c r="W90" s="153" t="e">
        <f>+VLOOKUP($M90,Data_Validation!$A:$D,4,0)</f>
        <v>#N/A</v>
      </c>
      <c r="X90" s="153" t="e">
        <f>+VLOOKUP($M90,Data_Validation!$A:$E,5,0)</f>
        <v>#N/A</v>
      </c>
      <c r="Y90" s="153" t="e">
        <f>+VLOOKUP($M90,Data_Validation!$A:$F,6,0)</f>
        <v>#N/A</v>
      </c>
    </row>
    <row r="91" spans="2:25" ht="15" customHeight="1">
      <c r="B91" s="1398"/>
      <c r="C91" s="1401"/>
      <c r="D91" s="1400"/>
      <c r="E91" s="1400"/>
      <c r="F91" s="1400"/>
      <c r="G91" s="1398"/>
      <c r="H91" s="1398"/>
      <c r="I91" s="1399"/>
      <c r="J91" s="1399"/>
      <c r="K91" s="1399"/>
      <c r="L91" s="1399"/>
      <c r="M91" s="150">
        <f t="shared" si="5"/>
        <v>0</v>
      </c>
      <c r="N91" s="151">
        <f t="shared" si="6"/>
        <v>0</v>
      </c>
      <c r="O91" s="152">
        <f>+IF(OR($R91=Parametres!$G$2,$R91=Parametres!$G$3),J91,D91)</f>
        <v>0</v>
      </c>
      <c r="P91" s="1085">
        <f>+IF(OR($R91=Parametres!$G$2,$R91=Parametres!$G$3),K91,E91)</f>
        <v>0</v>
      </c>
      <c r="Q91" s="1382">
        <f>+IF(OR($R91=Parametres!$G$2,$R91=Parametres!$G$3),L91,F91)</f>
        <v>0</v>
      </c>
      <c r="R91" s="151">
        <f t="shared" si="7"/>
        <v>0</v>
      </c>
      <c r="S91" s="150">
        <f t="shared" si="8"/>
        <v>0</v>
      </c>
      <c r="T91" s="151">
        <f t="shared" si="9"/>
        <v>0</v>
      </c>
      <c r="U91" s="153" t="e">
        <f>+VLOOKUP($M91,Data_Validation!$A:$D,1,0)</f>
        <v>#N/A</v>
      </c>
      <c r="V91" s="153" t="e">
        <f>+VLOOKUP($M91,Data_Validation!$A:$D,3,0)</f>
        <v>#N/A</v>
      </c>
      <c r="W91" s="153" t="e">
        <f>+VLOOKUP($M91,Data_Validation!$A:$D,4,0)</f>
        <v>#N/A</v>
      </c>
      <c r="X91" s="153" t="e">
        <f>+VLOOKUP($M91,Data_Validation!$A:$E,5,0)</f>
        <v>#N/A</v>
      </c>
      <c r="Y91" s="153" t="e">
        <f>+VLOOKUP($M91,Data_Validation!$A:$F,6,0)</f>
        <v>#N/A</v>
      </c>
    </row>
    <row r="92" spans="2:25" ht="15" customHeight="1">
      <c r="B92" s="1398"/>
      <c r="C92" s="1401"/>
      <c r="D92" s="1400"/>
      <c r="E92" s="1400"/>
      <c r="F92" s="1400"/>
      <c r="G92" s="1398"/>
      <c r="H92" s="1398"/>
      <c r="I92" s="1399"/>
      <c r="J92" s="1399"/>
      <c r="K92" s="1399"/>
      <c r="L92" s="1399"/>
      <c r="M92" s="150">
        <f t="shared" si="5"/>
        <v>0</v>
      </c>
      <c r="N92" s="151">
        <f t="shared" si="6"/>
        <v>0</v>
      </c>
      <c r="O92" s="152">
        <f>+IF(OR($R92=Parametres!$G$2,$R92=Parametres!$G$3),J92,D92)</f>
        <v>0</v>
      </c>
      <c r="P92" s="1085">
        <f>+IF(OR($R92=Parametres!$G$2,$R92=Parametres!$G$3),K92,E92)</f>
        <v>0</v>
      </c>
      <c r="Q92" s="1382">
        <f>+IF(OR($R92=Parametres!$G$2,$R92=Parametres!$G$3),L92,F92)</f>
        <v>0</v>
      </c>
      <c r="R92" s="151">
        <f t="shared" si="7"/>
        <v>0</v>
      </c>
      <c r="S92" s="150">
        <f t="shared" si="8"/>
        <v>0</v>
      </c>
      <c r="T92" s="151">
        <f t="shared" si="9"/>
        <v>0</v>
      </c>
      <c r="U92" s="153" t="e">
        <f>+VLOOKUP($M92,Data_Validation!$A:$D,1,0)</f>
        <v>#N/A</v>
      </c>
      <c r="V92" s="153" t="e">
        <f>+VLOOKUP($M92,Data_Validation!$A:$D,3,0)</f>
        <v>#N/A</v>
      </c>
      <c r="W92" s="153" t="e">
        <f>+VLOOKUP($M92,Data_Validation!$A:$D,4,0)</f>
        <v>#N/A</v>
      </c>
      <c r="X92" s="153" t="e">
        <f>+VLOOKUP($M92,Data_Validation!$A:$E,5,0)</f>
        <v>#N/A</v>
      </c>
      <c r="Y92" s="153" t="e">
        <f>+VLOOKUP($M92,Data_Validation!$A:$F,6,0)</f>
        <v>#N/A</v>
      </c>
    </row>
    <row r="93" spans="2:25" ht="15" customHeight="1">
      <c r="B93" s="1398"/>
      <c r="C93" s="1398"/>
      <c r="D93" s="1399"/>
      <c r="E93" s="1399"/>
      <c r="F93" s="1399"/>
      <c r="G93" s="1398"/>
      <c r="H93" s="1398"/>
      <c r="I93" s="1399"/>
      <c r="J93" s="1400"/>
      <c r="K93" s="1400"/>
      <c r="L93" s="1400"/>
      <c r="M93" s="150">
        <f t="shared" si="5"/>
        <v>0</v>
      </c>
      <c r="N93" s="151">
        <f t="shared" si="6"/>
        <v>0</v>
      </c>
      <c r="O93" s="152">
        <f>+IF(OR($R93=Parametres!$G$2,$R93=Parametres!$G$3),J93,D93)</f>
        <v>0</v>
      </c>
      <c r="P93" s="1085">
        <f>+IF(OR($R93=Parametres!$G$2,$R93=Parametres!$G$3),K93,E93)</f>
        <v>0</v>
      </c>
      <c r="Q93" s="1382">
        <f>+IF(OR($R93=Parametres!$G$2,$R93=Parametres!$G$3),L93,F93)</f>
        <v>0</v>
      </c>
      <c r="R93" s="151">
        <f t="shared" si="7"/>
        <v>0</v>
      </c>
      <c r="S93" s="150">
        <f t="shared" si="8"/>
        <v>0</v>
      </c>
      <c r="T93" s="151">
        <f t="shared" si="9"/>
        <v>0</v>
      </c>
      <c r="U93" s="153" t="e">
        <f>+VLOOKUP($M93,Data_Validation!$A:$D,1,0)</f>
        <v>#N/A</v>
      </c>
      <c r="V93" s="153" t="e">
        <f>+VLOOKUP($M93,Data_Validation!$A:$D,3,0)</f>
        <v>#N/A</v>
      </c>
      <c r="W93" s="153" t="e">
        <f>+VLOOKUP($M93,Data_Validation!$A:$D,4,0)</f>
        <v>#N/A</v>
      </c>
      <c r="X93" s="153" t="e">
        <f>+VLOOKUP($M93,Data_Validation!$A:$E,5,0)</f>
        <v>#N/A</v>
      </c>
      <c r="Y93" s="153" t="e">
        <f>+VLOOKUP($M93,Data_Validation!$A:$F,6,0)</f>
        <v>#N/A</v>
      </c>
    </row>
    <row r="94" spans="2:25" ht="15.75" customHeight="1">
      <c r="B94" s="1398"/>
      <c r="C94" s="1401"/>
      <c r="D94" s="1400"/>
      <c r="E94" s="1400"/>
      <c r="F94" s="1400"/>
      <c r="G94" s="1398"/>
      <c r="H94" s="1398"/>
      <c r="I94" s="1399"/>
      <c r="J94" s="1399"/>
      <c r="K94" s="1399"/>
      <c r="L94" s="1399"/>
      <c r="M94" s="150">
        <f t="shared" si="5"/>
        <v>0</v>
      </c>
      <c r="N94" s="151">
        <f t="shared" si="6"/>
        <v>0</v>
      </c>
      <c r="O94" s="152">
        <f>+IF(OR($R94=Parametres!$G$2,$R94=Parametres!$G$3),J94,D94)</f>
        <v>0</v>
      </c>
      <c r="P94" s="1085">
        <f>+IF(OR($R94=Parametres!$G$2,$R94=Parametres!$G$3),K94,E94)</f>
        <v>0</v>
      </c>
      <c r="Q94" s="152">
        <f>+IF(OR($R94=Parametres!$G$2,$R94=Parametres!$G$3),L94,F94)</f>
        <v>0</v>
      </c>
      <c r="R94" s="151">
        <f t="shared" si="7"/>
        <v>0</v>
      </c>
      <c r="S94" s="150">
        <f t="shared" si="8"/>
        <v>0</v>
      </c>
      <c r="T94" s="151">
        <f t="shared" si="9"/>
        <v>0</v>
      </c>
      <c r="U94" s="153" t="e">
        <f>+VLOOKUP($M94,Data_Validation!$A:$D,1,0)</f>
        <v>#N/A</v>
      </c>
      <c r="V94" s="153" t="e">
        <f>+VLOOKUP($M94,Data_Validation!$A:$D,3,0)</f>
        <v>#N/A</v>
      </c>
      <c r="W94" s="153" t="e">
        <f>+VLOOKUP($M94,Data_Validation!$A:$D,4,0)</f>
        <v>#N/A</v>
      </c>
      <c r="X94" s="153" t="e">
        <f>+VLOOKUP($M94,Data_Validation!$A:$E,5,0)</f>
        <v>#N/A</v>
      </c>
      <c r="Y94" s="153" t="e">
        <f>+VLOOKUP($M94,Data_Validation!$A:$F,6,0)</f>
        <v>#N/A</v>
      </c>
    </row>
    <row r="95" spans="2:25" ht="15" customHeight="1">
      <c r="B95" s="1398"/>
      <c r="C95" s="1401"/>
      <c r="D95" s="1400"/>
      <c r="E95" s="1400"/>
      <c r="F95" s="1400"/>
      <c r="G95" s="1398"/>
      <c r="H95" s="1398"/>
      <c r="I95" s="1399"/>
      <c r="J95" s="1399"/>
      <c r="K95" s="1399"/>
      <c r="L95" s="1399"/>
      <c r="M95" s="150">
        <f t="shared" si="5"/>
        <v>0</v>
      </c>
      <c r="N95" s="151">
        <f t="shared" si="6"/>
        <v>0</v>
      </c>
      <c r="O95" s="152">
        <f>+IF(OR($R95=Parametres!$G$2,$R95=Parametres!$G$3),J95,D95)</f>
        <v>0</v>
      </c>
      <c r="P95" s="1085">
        <f>+IF(OR($R95=Parametres!$G$2,$R95=Parametres!$G$3),K95,E95)</f>
        <v>0</v>
      </c>
      <c r="Q95" s="152">
        <f>+IF(OR($R95=Parametres!$G$2,$R95=Parametres!$G$3),L95,F95)</f>
        <v>0</v>
      </c>
      <c r="R95" s="151">
        <f t="shared" si="7"/>
        <v>0</v>
      </c>
      <c r="S95" s="150">
        <f t="shared" si="8"/>
        <v>0</v>
      </c>
      <c r="T95" s="151">
        <f t="shared" si="9"/>
        <v>0</v>
      </c>
      <c r="U95" s="153" t="e">
        <f>+VLOOKUP($M95,Data_Validation!$A:$D,1,0)</f>
        <v>#N/A</v>
      </c>
      <c r="V95" s="153" t="e">
        <f>+VLOOKUP($M95,Data_Validation!$A:$D,3,0)</f>
        <v>#N/A</v>
      </c>
      <c r="W95" s="153" t="e">
        <f>+VLOOKUP($M95,Data_Validation!$A:$D,4,0)</f>
        <v>#N/A</v>
      </c>
      <c r="X95" s="153" t="e">
        <f>+VLOOKUP($M95,Data_Validation!$A:$E,5,0)</f>
        <v>#N/A</v>
      </c>
      <c r="Y95" s="153" t="e">
        <f>+VLOOKUP($M95,Data_Validation!$A:$F,6,0)</f>
        <v>#N/A</v>
      </c>
    </row>
    <row r="96" spans="2:25" ht="15" customHeight="1">
      <c r="B96" s="1398"/>
      <c r="C96" s="1401"/>
      <c r="D96" s="1400"/>
      <c r="E96" s="1400"/>
      <c r="F96" s="1400"/>
      <c r="G96" s="1398"/>
      <c r="H96" s="1398"/>
      <c r="I96" s="1399"/>
      <c r="J96" s="1399"/>
      <c r="K96" s="1399"/>
      <c r="L96" s="1399"/>
      <c r="M96" s="150">
        <f t="shared" si="5"/>
        <v>0</v>
      </c>
      <c r="N96" s="151">
        <f t="shared" si="6"/>
        <v>0</v>
      </c>
      <c r="O96" s="152">
        <f>+IF(OR($R96=Parametres!$G$2,$R96=Parametres!$G$3),J96,D96)</f>
        <v>0</v>
      </c>
      <c r="P96" s="1085">
        <f>+IF(OR($R96=Parametres!$G$2,$R96=Parametres!$G$3),K96,E96)</f>
        <v>0</v>
      </c>
      <c r="Q96" s="1382">
        <f>+IF(OR($R96=Parametres!$G$2,$R96=Parametres!$G$3),L96,F96)</f>
        <v>0</v>
      </c>
      <c r="R96" s="151">
        <f t="shared" si="7"/>
        <v>0</v>
      </c>
      <c r="S96" s="150">
        <f t="shared" si="8"/>
        <v>0</v>
      </c>
      <c r="T96" s="151">
        <f t="shared" si="9"/>
        <v>0</v>
      </c>
      <c r="U96" s="153" t="e">
        <f>+VLOOKUP($M96,Data_Validation!$A:$D,1,0)</f>
        <v>#N/A</v>
      </c>
      <c r="V96" s="153" t="e">
        <f>+VLOOKUP($M96,Data_Validation!$A:$D,3,0)</f>
        <v>#N/A</v>
      </c>
      <c r="W96" s="153" t="e">
        <f>+VLOOKUP($M96,Data_Validation!$A:$D,4,0)</f>
        <v>#N/A</v>
      </c>
      <c r="X96" s="153" t="e">
        <f>+VLOOKUP($M96,Data_Validation!$A:$E,5,0)</f>
        <v>#N/A</v>
      </c>
      <c r="Y96" s="153" t="e">
        <f>+VLOOKUP($M96,Data_Validation!$A:$F,6,0)</f>
        <v>#N/A</v>
      </c>
    </row>
    <row r="97" spans="2:25" ht="15" customHeight="1">
      <c r="B97" s="1398"/>
      <c r="C97" s="1398"/>
      <c r="D97" s="1399"/>
      <c r="E97" s="1399"/>
      <c r="F97" s="1399"/>
      <c r="G97" s="1398"/>
      <c r="H97" s="1398"/>
      <c r="I97" s="1399"/>
      <c r="J97" s="1400"/>
      <c r="K97" s="1400"/>
      <c r="L97" s="1400"/>
      <c r="M97" s="150">
        <f t="shared" si="5"/>
        <v>0</v>
      </c>
      <c r="N97" s="151">
        <f t="shared" si="6"/>
        <v>0</v>
      </c>
      <c r="O97" s="152">
        <f>+IF(OR($R97=Parametres!$G$2,$R97=Parametres!$G$3),J97,D97)</f>
        <v>0</v>
      </c>
      <c r="P97" s="1083">
        <f>+IF(OR($R97=Parametres!$G$2,$R97=Parametres!$G$3),K97,E97)</f>
        <v>0</v>
      </c>
      <c r="Q97" s="152">
        <f>+IF(OR($R97=Parametres!$G$2,$R97=Parametres!$G$3),L97,F97)</f>
        <v>0</v>
      </c>
      <c r="R97" s="151">
        <f t="shared" si="7"/>
        <v>0</v>
      </c>
      <c r="S97" s="150">
        <f t="shared" si="8"/>
        <v>0</v>
      </c>
      <c r="T97" s="151">
        <f t="shared" si="9"/>
        <v>0</v>
      </c>
      <c r="U97" s="153" t="e">
        <f>+VLOOKUP($M97,Data_Validation!$A:$D,1,0)</f>
        <v>#N/A</v>
      </c>
      <c r="V97" s="153" t="e">
        <f>+VLOOKUP($M97,Data_Validation!$A:$D,3,0)</f>
        <v>#N/A</v>
      </c>
      <c r="W97" s="153" t="e">
        <f>+VLOOKUP($M97,Data_Validation!$A:$D,4,0)</f>
        <v>#N/A</v>
      </c>
      <c r="X97" s="153" t="e">
        <f>+VLOOKUP($M97,Data_Validation!$A:$E,5,0)</f>
        <v>#N/A</v>
      </c>
      <c r="Y97" s="153" t="e">
        <f>+VLOOKUP($M97,Data_Validation!$A:$F,6,0)</f>
        <v>#N/A</v>
      </c>
    </row>
    <row r="98" spans="2:25" ht="15" customHeight="1">
      <c r="B98" s="1398"/>
      <c r="C98" s="1401"/>
      <c r="D98" s="1400"/>
      <c r="E98" s="1400"/>
      <c r="F98" s="1400"/>
      <c r="G98" s="1398"/>
      <c r="H98" s="1398"/>
      <c r="I98" s="1399"/>
      <c r="J98" s="1399"/>
      <c r="K98" s="1399"/>
      <c r="L98" s="1399"/>
      <c r="M98" s="150">
        <f t="shared" si="5"/>
        <v>0</v>
      </c>
      <c r="N98" s="151">
        <f t="shared" si="6"/>
        <v>0</v>
      </c>
      <c r="O98" s="152">
        <f>+IF(OR($R98=Parametres!$G$2,$R98=Parametres!$G$3),J98,D98)</f>
        <v>0</v>
      </c>
      <c r="P98" s="1083">
        <f>+IF(OR($R98=Parametres!$G$2,$R98=Parametres!$G$3),K98,E98)</f>
        <v>0</v>
      </c>
      <c r="Q98" s="152">
        <f>+IF(OR($R98=Parametres!$G$2,$R98=Parametres!$G$3),L98,F98)</f>
        <v>0</v>
      </c>
      <c r="R98" s="151">
        <f t="shared" si="7"/>
        <v>0</v>
      </c>
      <c r="S98" s="150">
        <f t="shared" si="8"/>
        <v>0</v>
      </c>
      <c r="T98" s="151">
        <f t="shared" si="9"/>
        <v>0</v>
      </c>
      <c r="U98" s="153" t="e">
        <f>+VLOOKUP($M98,Data_Validation!$A:$D,1,0)</f>
        <v>#N/A</v>
      </c>
      <c r="V98" s="153" t="e">
        <f>+VLOOKUP($M98,Data_Validation!$A:$D,3,0)</f>
        <v>#N/A</v>
      </c>
      <c r="W98" s="153" t="e">
        <f>+VLOOKUP($M98,Data_Validation!$A:$D,4,0)</f>
        <v>#N/A</v>
      </c>
      <c r="X98" s="153" t="e">
        <f>+VLOOKUP($M98,Data_Validation!$A:$E,5,0)</f>
        <v>#N/A</v>
      </c>
      <c r="Y98" s="153" t="e">
        <f>+VLOOKUP($M98,Data_Validation!$A:$F,6,0)</f>
        <v>#N/A</v>
      </c>
    </row>
    <row r="99" spans="2:25" ht="15.75" customHeight="1">
      <c r="B99" s="1398"/>
      <c r="C99" s="1401"/>
      <c r="D99" s="1400"/>
      <c r="E99" s="1400"/>
      <c r="F99" s="1400"/>
      <c r="G99" s="1398"/>
      <c r="H99" s="1398"/>
      <c r="I99" s="1399"/>
      <c r="J99" s="1399"/>
      <c r="K99" s="1399"/>
      <c r="L99" s="1399"/>
      <c r="M99" s="150">
        <f t="shared" si="5"/>
        <v>0</v>
      </c>
      <c r="N99" s="151">
        <f t="shared" si="6"/>
        <v>0</v>
      </c>
      <c r="O99" s="152">
        <f>+IF(OR($R99=Parametres!$G$2,$R99=Parametres!$G$3),J99,D99)</f>
        <v>0</v>
      </c>
      <c r="P99" s="1083">
        <f>+IF(OR($R99=Parametres!$G$2,$R99=Parametres!$G$3),K99,E99)</f>
        <v>0</v>
      </c>
      <c r="Q99" s="152">
        <f>+IF(OR($R99=Parametres!$G$2,$R99=Parametres!$G$3),L99,F99)</f>
        <v>0</v>
      </c>
      <c r="R99" s="151">
        <f t="shared" si="7"/>
        <v>0</v>
      </c>
      <c r="S99" s="150">
        <f t="shared" si="8"/>
        <v>0</v>
      </c>
      <c r="T99" s="151">
        <f t="shared" si="9"/>
        <v>0</v>
      </c>
      <c r="U99" s="153" t="e">
        <f>+VLOOKUP($M99,Data_Validation!$A:$D,1,0)</f>
        <v>#N/A</v>
      </c>
      <c r="V99" s="153" t="e">
        <f>+VLOOKUP($M99,Data_Validation!$A:$D,3,0)</f>
        <v>#N/A</v>
      </c>
      <c r="W99" s="153" t="e">
        <f>+VLOOKUP($M99,Data_Validation!$A:$D,4,0)</f>
        <v>#N/A</v>
      </c>
      <c r="X99" s="153" t="e">
        <f>+VLOOKUP($M99,Data_Validation!$A:$E,5,0)</f>
        <v>#N/A</v>
      </c>
      <c r="Y99" s="153" t="e">
        <f>+VLOOKUP($M99,Data_Validation!$A:$F,6,0)</f>
        <v>#N/A</v>
      </c>
    </row>
    <row r="100" spans="2:25" ht="15" customHeight="1">
      <c r="B100" s="1398"/>
      <c r="C100" s="1401"/>
      <c r="D100" s="1400"/>
      <c r="E100" s="1400"/>
      <c r="F100" s="1400"/>
      <c r="G100" s="1398"/>
      <c r="H100" s="1398"/>
      <c r="I100" s="1399"/>
      <c r="J100" s="1399"/>
      <c r="K100" s="1399"/>
      <c r="L100" s="1399"/>
      <c r="M100" s="150">
        <f t="shared" si="5"/>
        <v>0</v>
      </c>
      <c r="N100" s="151">
        <f t="shared" si="6"/>
        <v>0</v>
      </c>
      <c r="O100" s="152">
        <f>+IF(OR($R100=Parametres!$G$2,$R100=Parametres!$G$3),J100,D100)</f>
        <v>0</v>
      </c>
      <c r="P100" s="1083">
        <f>+IF(OR($R100=Parametres!$G$2,$R100=Parametres!$G$3),K100,E100)</f>
        <v>0</v>
      </c>
      <c r="Q100" s="152">
        <f>+IF(OR($R100=Parametres!$G$2,$R100=Parametres!$G$3),L100,F100)</f>
        <v>0</v>
      </c>
      <c r="R100" s="151">
        <f t="shared" si="7"/>
        <v>0</v>
      </c>
      <c r="S100" s="150">
        <f t="shared" si="8"/>
        <v>0</v>
      </c>
      <c r="T100" s="151">
        <f t="shared" si="9"/>
        <v>0</v>
      </c>
      <c r="U100" s="153" t="e">
        <f>+VLOOKUP($M100,Data_Validation!$A:$D,1,0)</f>
        <v>#N/A</v>
      </c>
      <c r="V100" s="153" t="e">
        <f>+VLOOKUP($M100,Data_Validation!$A:$D,3,0)</f>
        <v>#N/A</v>
      </c>
      <c r="W100" s="153" t="e">
        <f>+VLOOKUP($M100,Data_Validation!$A:$D,4,0)</f>
        <v>#N/A</v>
      </c>
      <c r="X100" s="153" t="e">
        <f>+VLOOKUP($M100,Data_Validation!$A:$E,5,0)</f>
        <v>#N/A</v>
      </c>
      <c r="Y100" s="153" t="e">
        <f>+VLOOKUP($M100,Data_Validation!$A:$F,6,0)</f>
        <v>#N/A</v>
      </c>
    </row>
    <row r="101" spans="2:25" ht="15" customHeight="1">
      <c r="B101" s="1398"/>
      <c r="C101" s="1401"/>
      <c r="D101" s="1400"/>
      <c r="E101" s="1400"/>
      <c r="F101" s="1400"/>
      <c r="G101" s="1398"/>
      <c r="H101" s="1398"/>
      <c r="I101" s="1399"/>
      <c r="J101" s="1399"/>
      <c r="K101" s="1399"/>
      <c r="L101" s="1399"/>
      <c r="M101" s="150">
        <f t="shared" si="5"/>
        <v>0</v>
      </c>
      <c r="N101" s="151">
        <f t="shared" si="6"/>
        <v>0</v>
      </c>
      <c r="O101" s="152">
        <f>+IF(OR($R101=Parametres!$G$2,$R101=Parametres!$G$3),J101,D101)</f>
        <v>0</v>
      </c>
      <c r="P101" s="1085">
        <f>+IF(OR($R101=Parametres!$G$2,$R101=Parametres!$G$3),K101,E101)</f>
        <v>0</v>
      </c>
      <c r="Q101" s="152">
        <f>+IF(OR($R101=Parametres!$G$2,$R101=Parametres!$G$3),L101,F101)</f>
        <v>0</v>
      </c>
      <c r="R101" s="151">
        <f t="shared" si="7"/>
        <v>0</v>
      </c>
      <c r="S101" s="150">
        <f t="shared" si="8"/>
        <v>0</v>
      </c>
      <c r="T101" s="151">
        <f t="shared" si="9"/>
        <v>0</v>
      </c>
      <c r="U101" s="153" t="e">
        <f>+VLOOKUP($M101,Data_Validation!$A:$D,1,0)</f>
        <v>#N/A</v>
      </c>
      <c r="V101" s="153" t="e">
        <f>+VLOOKUP($M101,Data_Validation!$A:$D,3,0)</f>
        <v>#N/A</v>
      </c>
      <c r="W101" s="153" t="e">
        <f>+VLOOKUP($M101,Data_Validation!$A:$D,4,0)</f>
        <v>#N/A</v>
      </c>
      <c r="X101" s="153" t="e">
        <f>+VLOOKUP($M101,Data_Validation!$A:$E,5,0)</f>
        <v>#N/A</v>
      </c>
      <c r="Y101" s="153" t="e">
        <f>+VLOOKUP($M101,Data_Validation!$A:$F,6,0)</f>
        <v>#N/A</v>
      </c>
    </row>
    <row r="102" spans="2:25" ht="15" customHeight="1">
      <c r="B102" s="1398"/>
      <c r="C102" s="1401"/>
      <c r="D102" s="1400"/>
      <c r="E102" s="1400"/>
      <c r="F102" s="1400"/>
      <c r="G102" s="1398"/>
      <c r="H102" s="1398"/>
      <c r="I102" s="1399"/>
      <c r="J102" s="1399"/>
      <c r="K102" s="1399"/>
      <c r="L102" s="1399"/>
      <c r="M102" s="150">
        <f t="shared" si="5"/>
        <v>0</v>
      </c>
      <c r="N102" s="151">
        <f t="shared" si="6"/>
        <v>0</v>
      </c>
      <c r="O102" s="152">
        <f>+IF(OR($R102=Parametres!$G$2,$R102=Parametres!$G$3),J102,D102)</f>
        <v>0</v>
      </c>
      <c r="P102" s="1085">
        <f>+IF(OR($R102=Parametres!$G$2,$R102=Parametres!$G$3),K102,E102)</f>
        <v>0</v>
      </c>
      <c r="Q102" s="152">
        <f>+IF(OR($R102=Parametres!$G$2,$R102=Parametres!$G$3),L102,F102)</f>
        <v>0</v>
      </c>
      <c r="R102" s="151">
        <f t="shared" si="7"/>
        <v>0</v>
      </c>
      <c r="S102" s="150">
        <f t="shared" si="8"/>
        <v>0</v>
      </c>
      <c r="T102" s="151">
        <f t="shared" si="9"/>
        <v>0</v>
      </c>
      <c r="U102" s="153" t="e">
        <f>+VLOOKUP($M102,Data_Validation!$A:$D,1,0)</f>
        <v>#N/A</v>
      </c>
      <c r="V102" s="153" t="e">
        <f>+VLOOKUP($M102,Data_Validation!$A:$D,3,0)</f>
        <v>#N/A</v>
      </c>
      <c r="W102" s="153" t="e">
        <f>+VLOOKUP($M102,Data_Validation!$A:$D,4,0)</f>
        <v>#N/A</v>
      </c>
      <c r="X102" s="153" t="e">
        <f>+VLOOKUP($M102,Data_Validation!$A:$E,5,0)</f>
        <v>#N/A</v>
      </c>
      <c r="Y102" s="153" t="e">
        <f>+VLOOKUP($M102,Data_Validation!$A:$F,6,0)</f>
        <v>#N/A</v>
      </c>
    </row>
    <row r="103" spans="2:25" ht="15.75" customHeight="1">
      <c r="B103" s="1398"/>
      <c r="C103" s="1401"/>
      <c r="D103" s="1400"/>
      <c r="E103" s="1400"/>
      <c r="F103" s="1400"/>
      <c r="G103" s="1398"/>
      <c r="H103" s="1398"/>
      <c r="I103" s="1399"/>
      <c r="J103" s="1399"/>
      <c r="K103" s="1399"/>
      <c r="L103" s="1399"/>
      <c r="M103" s="150">
        <f t="shared" si="5"/>
        <v>0</v>
      </c>
      <c r="N103" s="151">
        <f t="shared" si="6"/>
        <v>0</v>
      </c>
      <c r="O103" s="152">
        <f>+IF(OR($R103=Parametres!$G$2,$R103=Parametres!$G$3),J103,D103)</f>
        <v>0</v>
      </c>
      <c r="P103" s="1085">
        <f>+IF(OR($R103=Parametres!$G$2,$R103=Parametres!$G$3),K103,E103)</f>
        <v>0</v>
      </c>
      <c r="Q103" s="152">
        <f>+IF(OR($R103=Parametres!$G$2,$R103=Parametres!$G$3),L103,F103)</f>
        <v>0</v>
      </c>
      <c r="R103" s="151">
        <f t="shared" si="7"/>
        <v>0</v>
      </c>
      <c r="S103" s="150">
        <f t="shared" si="8"/>
        <v>0</v>
      </c>
      <c r="T103" s="151">
        <f t="shared" si="9"/>
        <v>0</v>
      </c>
      <c r="U103" s="153" t="e">
        <f>+VLOOKUP($M103,Data_Validation!$A:$D,1,0)</f>
        <v>#N/A</v>
      </c>
      <c r="V103" s="153" t="e">
        <f>+VLOOKUP($M103,Data_Validation!$A:$D,3,0)</f>
        <v>#N/A</v>
      </c>
      <c r="W103" s="153" t="e">
        <f>+VLOOKUP($M103,Data_Validation!$A:$D,4,0)</f>
        <v>#N/A</v>
      </c>
      <c r="X103" s="153" t="e">
        <f>+VLOOKUP($M103,Data_Validation!$A:$E,5,0)</f>
        <v>#N/A</v>
      </c>
      <c r="Y103" s="153" t="e">
        <f>+VLOOKUP($M103,Data_Validation!$A:$F,6,0)</f>
        <v>#N/A</v>
      </c>
    </row>
    <row r="104" spans="2:25" ht="15" customHeight="1">
      <c r="B104" s="1398"/>
      <c r="C104" s="1401"/>
      <c r="D104" s="1400"/>
      <c r="E104" s="1400"/>
      <c r="F104" s="1400"/>
      <c r="G104" s="1398"/>
      <c r="H104" s="1398"/>
      <c r="I104" s="1399"/>
      <c r="J104" s="1399"/>
      <c r="K104" s="1399"/>
      <c r="L104" s="1399"/>
      <c r="M104" s="150">
        <f t="shared" si="5"/>
        <v>0</v>
      </c>
      <c r="N104" s="151">
        <f t="shared" si="6"/>
        <v>0</v>
      </c>
      <c r="O104" s="152">
        <f>+IF(OR($R104=Parametres!$G$2,$R104=Parametres!$G$3),J104,D104)</f>
        <v>0</v>
      </c>
      <c r="P104" s="1085">
        <f>+IF(OR($R104=Parametres!$G$2,$R104=Parametres!$G$3),K104,E104)</f>
        <v>0</v>
      </c>
      <c r="Q104" s="152">
        <f>+IF(OR($R104=Parametres!$G$2,$R104=Parametres!$G$3),L104,F104)</f>
        <v>0</v>
      </c>
      <c r="R104" s="151">
        <f t="shared" si="7"/>
        <v>0</v>
      </c>
      <c r="S104" s="150">
        <f t="shared" si="8"/>
        <v>0</v>
      </c>
      <c r="T104" s="151">
        <f t="shared" si="9"/>
        <v>0</v>
      </c>
      <c r="U104" s="153" t="e">
        <f>+VLOOKUP($M104,Data_Validation!$A:$D,1,0)</f>
        <v>#N/A</v>
      </c>
      <c r="V104" s="153" t="e">
        <f>+VLOOKUP($M104,Data_Validation!$A:$D,3,0)</f>
        <v>#N/A</v>
      </c>
      <c r="W104" s="153" t="e">
        <f>+VLOOKUP($M104,Data_Validation!$A:$D,4,0)</f>
        <v>#N/A</v>
      </c>
      <c r="X104" s="153" t="e">
        <f>+VLOOKUP($M104,Data_Validation!$A:$E,5,0)</f>
        <v>#N/A</v>
      </c>
      <c r="Y104" s="153" t="e">
        <f>+VLOOKUP($M104,Data_Validation!$A:$F,6,0)</f>
        <v>#N/A</v>
      </c>
    </row>
    <row r="105" spans="2:25" ht="15" customHeight="1">
      <c r="B105" s="1398"/>
      <c r="C105" s="1401"/>
      <c r="D105" s="1400"/>
      <c r="E105" s="1400"/>
      <c r="F105" s="1400"/>
      <c r="G105" s="1398"/>
      <c r="H105" s="1398"/>
      <c r="I105" s="1399"/>
      <c r="J105" s="1399"/>
      <c r="K105" s="1399"/>
      <c r="L105" s="1399"/>
      <c r="M105" s="150">
        <f t="shared" si="5"/>
        <v>0</v>
      </c>
      <c r="N105" s="151">
        <f t="shared" si="6"/>
        <v>0</v>
      </c>
      <c r="O105" s="152">
        <f>+IF(OR($R105=Parametres!$G$2,$R105=Parametres!$G$3),J105,D105)</f>
        <v>0</v>
      </c>
      <c r="P105" s="1085">
        <f>+IF(OR($R105=Parametres!$G$2,$R105=Parametres!$G$3),K105,E105)</f>
        <v>0</v>
      </c>
      <c r="Q105" s="152">
        <f>+IF(OR($R105=Parametres!$G$2,$R105=Parametres!$G$3),L105,F105)</f>
        <v>0</v>
      </c>
      <c r="R105" s="151">
        <f t="shared" si="7"/>
        <v>0</v>
      </c>
      <c r="S105" s="150">
        <f t="shared" si="8"/>
        <v>0</v>
      </c>
      <c r="T105" s="151">
        <f t="shared" si="9"/>
        <v>0</v>
      </c>
      <c r="U105" s="153" t="e">
        <f>+VLOOKUP($M105,Data_Validation!$A:$D,1,0)</f>
        <v>#N/A</v>
      </c>
      <c r="V105" s="153" t="e">
        <f>+VLOOKUP($M105,Data_Validation!$A:$D,3,0)</f>
        <v>#N/A</v>
      </c>
      <c r="W105" s="153" t="e">
        <f>+VLOOKUP($M105,Data_Validation!$A:$D,4,0)</f>
        <v>#N/A</v>
      </c>
      <c r="X105" s="153" t="e">
        <f>+VLOOKUP($M105,Data_Validation!$A:$E,5,0)</f>
        <v>#N/A</v>
      </c>
      <c r="Y105" s="153" t="e">
        <f>+VLOOKUP($M105,Data_Validation!$A:$F,6,0)</f>
        <v>#N/A</v>
      </c>
    </row>
    <row r="106" spans="2:25" ht="15" customHeight="1">
      <c r="B106" s="1398"/>
      <c r="C106" s="1401"/>
      <c r="D106" s="1400"/>
      <c r="E106" s="1400"/>
      <c r="F106" s="1400"/>
      <c r="G106" s="1398"/>
      <c r="H106" s="1398"/>
      <c r="I106" s="1399"/>
      <c r="J106" s="1399"/>
      <c r="K106" s="1399"/>
      <c r="L106" s="1399"/>
      <c r="M106" s="150">
        <f t="shared" si="5"/>
        <v>0</v>
      </c>
      <c r="N106" s="151">
        <f t="shared" si="6"/>
        <v>0</v>
      </c>
      <c r="O106" s="152">
        <f>+IF(OR($R106=Parametres!$G$2,$R106=Parametres!$G$3),J106,D106)</f>
        <v>0</v>
      </c>
      <c r="P106" s="1085">
        <f>+IF(OR($R106=Parametres!$G$2,$R106=Parametres!$G$3),K106,E106)</f>
        <v>0</v>
      </c>
      <c r="Q106" s="152">
        <f>+IF(OR($R106=Parametres!$G$2,$R106=Parametres!$G$3),L106,F106)</f>
        <v>0</v>
      </c>
      <c r="R106" s="151">
        <f t="shared" si="7"/>
        <v>0</v>
      </c>
      <c r="S106" s="150">
        <f t="shared" si="8"/>
        <v>0</v>
      </c>
      <c r="T106" s="151">
        <f t="shared" si="9"/>
        <v>0</v>
      </c>
      <c r="U106" s="153" t="e">
        <f>+VLOOKUP($M106,Data_Validation!$A:$D,1,0)</f>
        <v>#N/A</v>
      </c>
      <c r="V106" s="153" t="e">
        <f>+VLOOKUP($M106,Data_Validation!$A:$D,3,0)</f>
        <v>#N/A</v>
      </c>
      <c r="W106" s="153" t="e">
        <f>+VLOOKUP($M106,Data_Validation!$A:$D,4,0)</f>
        <v>#N/A</v>
      </c>
      <c r="X106" s="153" t="e">
        <f>+VLOOKUP($M106,Data_Validation!$A:$E,5,0)</f>
        <v>#N/A</v>
      </c>
      <c r="Y106" s="153" t="e">
        <f>+VLOOKUP($M106,Data_Validation!$A:$F,6,0)</f>
        <v>#N/A</v>
      </c>
    </row>
    <row r="107" spans="2:25" ht="15" customHeight="1">
      <c r="B107" s="1398"/>
      <c r="C107" s="1401"/>
      <c r="D107" s="1400"/>
      <c r="E107" s="1400"/>
      <c r="F107" s="1400"/>
      <c r="G107" s="1398"/>
      <c r="H107" s="1398"/>
      <c r="I107" s="1399"/>
      <c r="J107" s="1399"/>
      <c r="K107" s="1399"/>
      <c r="L107" s="1399"/>
      <c r="M107" s="150">
        <f t="shared" si="5"/>
        <v>0</v>
      </c>
      <c r="N107" s="151">
        <f t="shared" si="6"/>
        <v>0</v>
      </c>
      <c r="O107" s="152">
        <f>+IF(OR($R107=Parametres!$G$2,$R107=Parametres!$G$3),J107,D107)</f>
        <v>0</v>
      </c>
      <c r="P107" s="1085">
        <f>+IF(OR($R107=Parametres!$G$2,$R107=Parametres!$G$3),K107,E107)</f>
        <v>0</v>
      </c>
      <c r="Q107" s="152">
        <f>+IF(OR($R107=Parametres!$G$2,$R107=Parametres!$G$3),L107,F107)</f>
        <v>0</v>
      </c>
      <c r="R107" s="151">
        <f t="shared" si="7"/>
        <v>0</v>
      </c>
      <c r="S107" s="150">
        <f t="shared" si="8"/>
        <v>0</v>
      </c>
      <c r="T107" s="151">
        <f t="shared" si="9"/>
        <v>0</v>
      </c>
      <c r="U107" s="153" t="e">
        <f>+VLOOKUP($M107,Data_Validation!$A:$D,1,0)</f>
        <v>#N/A</v>
      </c>
      <c r="V107" s="153" t="e">
        <f>+VLOOKUP($M107,Data_Validation!$A:$D,3,0)</f>
        <v>#N/A</v>
      </c>
      <c r="W107" s="153" t="e">
        <f>+VLOOKUP($M107,Data_Validation!$A:$D,4,0)</f>
        <v>#N/A</v>
      </c>
      <c r="X107" s="153" t="e">
        <f>+VLOOKUP($M107,Data_Validation!$A:$E,5,0)</f>
        <v>#N/A</v>
      </c>
      <c r="Y107" s="153" t="e">
        <f>+VLOOKUP($M107,Data_Validation!$A:$F,6,0)</f>
        <v>#N/A</v>
      </c>
    </row>
    <row r="108" spans="2:25" ht="15" customHeight="1">
      <c r="B108" s="1398"/>
      <c r="C108" s="1401"/>
      <c r="D108" s="1400"/>
      <c r="E108" s="1400"/>
      <c r="F108" s="1400"/>
      <c r="G108" s="1398"/>
      <c r="H108" s="1398"/>
      <c r="I108" s="1399"/>
      <c r="J108" s="1399"/>
      <c r="K108" s="1399"/>
      <c r="L108" s="1399"/>
      <c r="M108" s="150">
        <f t="shared" si="5"/>
        <v>0</v>
      </c>
      <c r="N108" s="151">
        <f t="shared" si="6"/>
        <v>0</v>
      </c>
      <c r="O108" s="152">
        <f>+IF(OR($R108=Parametres!$G$2,$R108=Parametres!$G$3),J108,D108)</f>
        <v>0</v>
      </c>
      <c r="P108" s="1085">
        <f>+IF(OR($R108=Parametres!$G$2,$R108=Parametres!$G$3),K108,E108)</f>
        <v>0</v>
      </c>
      <c r="Q108" s="152">
        <f>+IF(OR($R108=Parametres!$G$2,$R108=Parametres!$G$3),L108,F108)</f>
        <v>0</v>
      </c>
      <c r="R108" s="151">
        <f t="shared" si="7"/>
        <v>0</v>
      </c>
      <c r="S108" s="150">
        <f t="shared" si="8"/>
        <v>0</v>
      </c>
      <c r="T108" s="151">
        <f t="shared" si="9"/>
        <v>0</v>
      </c>
      <c r="U108" s="153" t="e">
        <f>+VLOOKUP($M108,Data_Validation!$A:$D,1,0)</f>
        <v>#N/A</v>
      </c>
      <c r="V108" s="153" t="e">
        <f>+VLOOKUP($M108,Data_Validation!$A:$D,3,0)</f>
        <v>#N/A</v>
      </c>
      <c r="W108" s="153" t="e">
        <f>+VLOOKUP($M108,Data_Validation!$A:$D,4,0)</f>
        <v>#N/A</v>
      </c>
      <c r="X108" s="153" t="e">
        <f>+VLOOKUP($M108,Data_Validation!$A:$E,5,0)</f>
        <v>#N/A</v>
      </c>
      <c r="Y108" s="153" t="e">
        <f>+VLOOKUP($M108,Data_Validation!$A:$F,6,0)</f>
        <v>#N/A</v>
      </c>
    </row>
    <row r="109" spans="2:25" ht="15.75" customHeight="1">
      <c r="B109" s="1398"/>
      <c r="C109" s="1401"/>
      <c r="D109" s="1400"/>
      <c r="E109" s="1400"/>
      <c r="F109" s="1400"/>
      <c r="G109" s="1398"/>
      <c r="H109" s="1398"/>
      <c r="I109" s="1399"/>
      <c r="J109" s="1399"/>
      <c r="K109" s="1399"/>
      <c r="L109" s="1399"/>
      <c r="M109" s="150">
        <f t="shared" si="5"/>
        <v>0</v>
      </c>
      <c r="N109" s="151">
        <f t="shared" si="6"/>
        <v>0</v>
      </c>
      <c r="O109" s="152">
        <f>+IF(OR($R109=Parametres!$G$2,$R109=Parametres!$G$3),J109,D109)</f>
        <v>0</v>
      </c>
      <c r="P109" s="1085">
        <f>+IF(OR($R109=Parametres!$G$2,$R109=Parametres!$G$3),K109,E109)</f>
        <v>0</v>
      </c>
      <c r="Q109" s="152">
        <f>+IF(OR($R109=Parametres!$G$2,$R109=Parametres!$G$3),L109,F109)</f>
        <v>0</v>
      </c>
      <c r="R109" s="151">
        <f t="shared" si="7"/>
        <v>0</v>
      </c>
      <c r="S109" s="150">
        <f t="shared" si="8"/>
        <v>0</v>
      </c>
      <c r="T109" s="151">
        <f t="shared" si="9"/>
        <v>0</v>
      </c>
      <c r="U109" s="153" t="e">
        <f>+VLOOKUP($M109,Data_Validation!$A:$D,1,0)</f>
        <v>#N/A</v>
      </c>
      <c r="V109" s="153" t="e">
        <f>+VLOOKUP($M109,Data_Validation!$A:$D,3,0)</f>
        <v>#N/A</v>
      </c>
      <c r="W109" s="153" t="e">
        <f>+VLOOKUP($M109,Data_Validation!$A:$D,4,0)</f>
        <v>#N/A</v>
      </c>
      <c r="X109" s="153" t="e">
        <f>+VLOOKUP($M109,Data_Validation!$A:$E,5,0)</f>
        <v>#N/A</v>
      </c>
      <c r="Y109" s="153" t="e">
        <f>+VLOOKUP($M109,Data_Validation!$A:$F,6,0)</f>
        <v>#N/A</v>
      </c>
    </row>
    <row r="110" spans="2:25" ht="15" customHeight="1">
      <c r="B110" s="1398"/>
      <c r="C110" s="1401"/>
      <c r="D110" s="1400"/>
      <c r="E110" s="1400"/>
      <c r="F110" s="1400"/>
      <c r="G110" s="1398"/>
      <c r="H110" s="1398"/>
      <c r="I110" s="1399"/>
      <c r="J110" s="1399"/>
      <c r="K110" s="1399"/>
      <c r="L110" s="1399"/>
      <c r="M110" s="150">
        <f t="shared" si="5"/>
        <v>0</v>
      </c>
      <c r="N110" s="151">
        <f t="shared" si="6"/>
        <v>0</v>
      </c>
      <c r="O110" s="152">
        <f>+IF(OR($R110=Parametres!$G$2,$R110=Parametres!$G$3),J110,D110)</f>
        <v>0</v>
      </c>
      <c r="P110" s="1083">
        <f>+IF(OR($R110=Parametres!$G$2,$R110=Parametres!$G$3),K110,E110)</f>
        <v>0</v>
      </c>
      <c r="Q110" s="152">
        <f>+IF(OR($R110=Parametres!$G$2,$R110=Parametres!$G$3),L110,F110)</f>
        <v>0</v>
      </c>
      <c r="R110" s="151">
        <f t="shared" si="7"/>
        <v>0</v>
      </c>
      <c r="S110" s="150">
        <f t="shared" si="8"/>
        <v>0</v>
      </c>
      <c r="T110" s="151">
        <f t="shared" si="9"/>
        <v>0</v>
      </c>
      <c r="U110" s="153" t="e">
        <f>+VLOOKUP($M110,Data_Validation!$A:$D,1,0)</f>
        <v>#N/A</v>
      </c>
      <c r="V110" s="153" t="e">
        <f>+VLOOKUP($M110,Data_Validation!$A:$D,3,0)</f>
        <v>#N/A</v>
      </c>
      <c r="W110" s="153" t="e">
        <f>+VLOOKUP($M110,Data_Validation!$A:$D,4,0)</f>
        <v>#N/A</v>
      </c>
      <c r="X110" s="153" t="e">
        <f>+VLOOKUP($M110,Data_Validation!$A:$E,5,0)</f>
        <v>#N/A</v>
      </c>
      <c r="Y110" s="153" t="e">
        <f>+VLOOKUP($M110,Data_Validation!$A:$F,6,0)</f>
        <v>#N/A</v>
      </c>
    </row>
    <row r="111" spans="2:25" ht="15" customHeight="1">
      <c r="B111" s="1398"/>
      <c r="C111" s="1401"/>
      <c r="D111" s="1400"/>
      <c r="E111" s="1400"/>
      <c r="F111" s="1400"/>
      <c r="G111" s="1398"/>
      <c r="H111" s="1398"/>
      <c r="I111" s="1399"/>
      <c r="J111" s="1399"/>
      <c r="K111" s="1399"/>
      <c r="L111" s="1399"/>
      <c r="M111" s="150">
        <f t="shared" si="5"/>
        <v>0</v>
      </c>
      <c r="N111" s="151">
        <f t="shared" si="6"/>
        <v>0</v>
      </c>
      <c r="O111" s="152">
        <f>+IF(OR($R111=Parametres!$G$2,$R111=Parametres!$G$3),J111,D111)</f>
        <v>0</v>
      </c>
      <c r="P111" s="1085">
        <f>+IF(OR($R111=Parametres!$G$2,$R111=Parametres!$G$3),K111,E111)</f>
        <v>0</v>
      </c>
      <c r="Q111" s="152">
        <f>+IF(OR($R111=Parametres!$G$2,$R111=Parametres!$G$3),L111,F111)</f>
        <v>0</v>
      </c>
      <c r="R111" s="151">
        <f t="shared" si="7"/>
        <v>0</v>
      </c>
      <c r="S111" s="150">
        <f t="shared" si="8"/>
        <v>0</v>
      </c>
      <c r="T111" s="151">
        <f t="shared" si="9"/>
        <v>0</v>
      </c>
      <c r="U111" s="153" t="e">
        <f>+VLOOKUP($M111,Data_Validation!$A:$D,1,0)</f>
        <v>#N/A</v>
      </c>
      <c r="V111" s="153" t="e">
        <f>+VLOOKUP($M111,Data_Validation!$A:$D,3,0)</f>
        <v>#N/A</v>
      </c>
      <c r="W111" s="153" t="e">
        <f>+VLOOKUP($M111,Data_Validation!$A:$D,4,0)</f>
        <v>#N/A</v>
      </c>
      <c r="X111" s="153" t="e">
        <f>+VLOOKUP($M111,Data_Validation!$A:$E,5,0)</f>
        <v>#N/A</v>
      </c>
      <c r="Y111" s="153" t="e">
        <f>+VLOOKUP($M111,Data_Validation!$A:$F,6,0)</f>
        <v>#N/A</v>
      </c>
    </row>
    <row r="112" spans="2:25" ht="15" customHeight="1">
      <c r="B112" s="1398"/>
      <c r="C112" s="1401"/>
      <c r="D112" s="1400"/>
      <c r="E112" s="1400"/>
      <c r="F112" s="1400"/>
      <c r="G112" s="1398"/>
      <c r="H112" s="1398"/>
      <c r="I112" s="1399"/>
      <c r="J112" s="1399"/>
      <c r="K112" s="1399"/>
      <c r="L112" s="1399"/>
      <c r="M112" s="150">
        <f t="shared" si="5"/>
        <v>0</v>
      </c>
      <c r="N112" s="151">
        <f t="shared" si="6"/>
        <v>0</v>
      </c>
      <c r="O112" s="152">
        <f>+IF(OR($R112=Parametres!$G$2,$R112=Parametres!$G$3),J112,D112)</f>
        <v>0</v>
      </c>
      <c r="P112" s="1085">
        <f>+IF(OR($R112=Parametres!$G$2,$R112=Parametres!$G$3),K112,E112)</f>
        <v>0</v>
      </c>
      <c r="Q112" s="152">
        <f>+IF(OR($R112=Parametres!$G$2,$R112=Parametres!$G$3),L112,F112)</f>
        <v>0</v>
      </c>
      <c r="R112" s="151">
        <f t="shared" si="7"/>
        <v>0</v>
      </c>
      <c r="S112" s="150">
        <f t="shared" si="8"/>
        <v>0</v>
      </c>
      <c r="T112" s="151">
        <f t="shared" si="9"/>
        <v>0</v>
      </c>
      <c r="U112" s="153" t="e">
        <f>+VLOOKUP($M112,Data_Validation!$A:$D,1,0)</f>
        <v>#N/A</v>
      </c>
      <c r="V112" s="153" t="e">
        <f>+VLOOKUP($M112,Data_Validation!$A:$D,3,0)</f>
        <v>#N/A</v>
      </c>
      <c r="W112" s="153" t="e">
        <f>+VLOOKUP($M112,Data_Validation!$A:$D,4,0)</f>
        <v>#N/A</v>
      </c>
      <c r="X112" s="153" t="e">
        <f>+VLOOKUP($M112,Data_Validation!$A:$E,5,0)</f>
        <v>#N/A</v>
      </c>
      <c r="Y112" s="153" t="e">
        <f>+VLOOKUP($M112,Data_Validation!$A:$F,6,0)</f>
        <v>#N/A</v>
      </c>
    </row>
    <row r="113" spans="2:25" ht="15.75" customHeight="1">
      <c r="B113" s="1398"/>
      <c r="C113" s="1401"/>
      <c r="D113" s="1400"/>
      <c r="E113" s="1400"/>
      <c r="F113" s="1400"/>
      <c r="G113" s="1398"/>
      <c r="H113" s="1398"/>
      <c r="I113" s="989"/>
      <c r="J113" s="989"/>
      <c r="K113" s="989"/>
      <c r="L113" s="989"/>
      <c r="M113" s="150">
        <f t="shared" si="5"/>
        <v>0</v>
      </c>
      <c r="N113" s="151">
        <f t="shared" si="6"/>
        <v>0</v>
      </c>
      <c r="O113" s="152">
        <f>+IF(OR($R113=Parametres!$G$2,$R113=Parametres!$G$3),J113,D113)</f>
        <v>0</v>
      </c>
      <c r="P113" s="1085">
        <f>+IF(OR($R113=Parametres!$G$2,$R113=Parametres!$G$3),K113,E113)</f>
        <v>0</v>
      </c>
      <c r="Q113" s="152">
        <f>+IF(OR($R113=Parametres!$G$2,$R113=Parametres!$G$3),L113,F113)</f>
        <v>0</v>
      </c>
      <c r="R113" s="151">
        <f t="shared" si="7"/>
        <v>0</v>
      </c>
      <c r="S113" s="150">
        <f t="shared" si="8"/>
        <v>0</v>
      </c>
      <c r="T113" s="151">
        <f t="shared" si="9"/>
        <v>0</v>
      </c>
      <c r="U113" s="153" t="e">
        <f>+VLOOKUP($M113,Data_Validation!$A:$D,1,0)</f>
        <v>#N/A</v>
      </c>
      <c r="V113" s="153" t="e">
        <f>+VLOOKUP($M113,Data_Validation!$A:$D,3,0)</f>
        <v>#N/A</v>
      </c>
      <c r="W113" s="153" t="e">
        <f>+VLOOKUP($M113,Data_Validation!$A:$D,4,0)</f>
        <v>#N/A</v>
      </c>
      <c r="X113" s="153" t="e">
        <f>+VLOOKUP($M113,Data_Validation!$A:$E,5,0)</f>
        <v>#N/A</v>
      </c>
      <c r="Y113" s="153" t="e">
        <f>+VLOOKUP($M113,Data_Validation!$A:$F,6,0)</f>
        <v>#N/A</v>
      </c>
    </row>
    <row r="114" spans="2:25" ht="15" customHeight="1">
      <c r="B114" s="1398"/>
      <c r="C114" s="1401"/>
      <c r="D114" s="1400"/>
      <c r="E114" s="1400"/>
      <c r="F114" s="1400"/>
      <c r="G114" s="1398"/>
      <c r="H114" s="1398"/>
      <c r="I114" s="928"/>
      <c r="J114" s="928"/>
      <c r="K114" s="928"/>
      <c r="L114" s="928"/>
      <c r="M114" s="150">
        <f t="shared" si="5"/>
        <v>0</v>
      </c>
      <c r="N114" s="151">
        <f t="shared" si="6"/>
        <v>0</v>
      </c>
      <c r="O114" s="152">
        <f>+IF(OR($R114=Parametres!$G$2,$R114=Parametres!$G$3),J114,D114)</f>
        <v>0</v>
      </c>
      <c r="P114" s="1085">
        <f>+IF(OR($R114=Parametres!$G$2,$R114=Parametres!$G$3),K114,E114)</f>
        <v>0</v>
      </c>
      <c r="Q114" s="152">
        <f>+IF(OR($R114=Parametres!$G$2,$R114=Parametres!$G$3),L114,F114)</f>
        <v>0</v>
      </c>
      <c r="R114" s="151">
        <f t="shared" si="7"/>
        <v>0</v>
      </c>
      <c r="S114" s="150">
        <f t="shared" si="8"/>
        <v>0</v>
      </c>
      <c r="T114" s="151">
        <f t="shared" si="9"/>
        <v>0</v>
      </c>
      <c r="U114" s="153" t="e">
        <f>+VLOOKUP($M114,Data_Validation!$A:$D,1,0)</f>
        <v>#N/A</v>
      </c>
      <c r="V114" s="153" t="e">
        <f>+VLOOKUP($M114,Data_Validation!$A:$D,3,0)</f>
        <v>#N/A</v>
      </c>
      <c r="W114" s="153" t="e">
        <f>+VLOOKUP($M114,Data_Validation!$A:$D,4,0)</f>
        <v>#N/A</v>
      </c>
      <c r="X114" s="153" t="e">
        <f>+VLOOKUP($M114,Data_Validation!$A:$E,5,0)</f>
        <v>#N/A</v>
      </c>
      <c r="Y114" s="153" t="e">
        <f>+VLOOKUP($M114,Data_Validation!$A:$F,6,0)</f>
        <v>#N/A</v>
      </c>
    </row>
    <row r="115" spans="2:25" ht="15" customHeight="1">
      <c r="B115" s="1398"/>
      <c r="C115" s="1401"/>
      <c r="D115" s="1400"/>
      <c r="E115" s="1400"/>
      <c r="F115" s="1400"/>
      <c r="G115" s="1398"/>
      <c r="H115" s="1398"/>
      <c r="I115" s="928"/>
      <c r="J115" s="927"/>
      <c r="K115" s="927"/>
      <c r="L115" s="927"/>
      <c r="M115" s="150">
        <f t="shared" si="5"/>
        <v>0</v>
      </c>
      <c r="N115" s="151">
        <f t="shared" si="6"/>
        <v>0</v>
      </c>
      <c r="O115" s="152">
        <f>+IF(OR($R115=Parametres!$G$2,$R115=Parametres!$G$3),J115,D115)</f>
        <v>0</v>
      </c>
      <c r="P115" s="1085">
        <f>+IF(OR($R115=Parametres!$G$2,$R115=Parametres!$G$3),K115,E115)</f>
        <v>0</v>
      </c>
      <c r="Q115" s="152">
        <f>+IF(OR($R115=Parametres!$G$2,$R115=Parametres!$G$3),L115,F115)</f>
        <v>0</v>
      </c>
      <c r="R115" s="151">
        <f t="shared" si="7"/>
        <v>0</v>
      </c>
      <c r="S115" s="150">
        <f t="shared" si="8"/>
        <v>0</v>
      </c>
      <c r="T115" s="151">
        <f t="shared" si="9"/>
        <v>0</v>
      </c>
      <c r="U115" s="153" t="e">
        <f>+VLOOKUP($M115,Data_Validation!$A:$D,1,0)</f>
        <v>#N/A</v>
      </c>
      <c r="V115" s="153" t="e">
        <f>+VLOOKUP($M115,Data_Validation!$A:$D,3,0)</f>
        <v>#N/A</v>
      </c>
      <c r="W115" s="153" t="e">
        <f>+VLOOKUP($M115,Data_Validation!$A:$D,4,0)</f>
        <v>#N/A</v>
      </c>
      <c r="X115" s="153" t="e">
        <f>+VLOOKUP($M115,Data_Validation!$A:$E,5,0)</f>
        <v>#N/A</v>
      </c>
      <c r="Y115" s="153" t="e">
        <f>+VLOOKUP($M115,Data_Validation!$A:$F,6,0)</f>
        <v>#N/A</v>
      </c>
    </row>
    <row r="116" spans="2:25" ht="15" customHeight="1">
      <c r="B116" s="1398"/>
      <c r="C116" s="1401"/>
      <c r="D116" s="1400"/>
      <c r="E116" s="1400"/>
      <c r="F116" s="1400"/>
      <c r="G116" s="1398"/>
      <c r="H116" s="1398"/>
      <c r="I116" s="948"/>
      <c r="J116" s="951"/>
      <c r="K116" s="951"/>
      <c r="L116" s="951"/>
      <c r="M116" s="150">
        <f t="shared" si="5"/>
        <v>0</v>
      </c>
      <c r="N116" s="151">
        <f t="shared" si="6"/>
        <v>0</v>
      </c>
      <c r="O116" s="152">
        <f>+IF(OR($R116=Parametres!$G$2,$R116=Parametres!$G$3),J116,D116)</f>
        <v>0</v>
      </c>
      <c r="P116" s="1085">
        <f>+IF(OR($R116=Parametres!$G$2,$R116=Parametres!$G$3),K116,E116)</f>
        <v>0</v>
      </c>
      <c r="Q116" s="152">
        <f>+IF(OR($R116=Parametres!$G$2,$R116=Parametres!$G$3),L116,F116)</f>
        <v>0</v>
      </c>
      <c r="R116" s="151">
        <f t="shared" si="7"/>
        <v>0</v>
      </c>
      <c r="S116" s="150">
        <f t="shared" si="8"/>
        <v>0</v>
      </c>
      <c r="T116" s="151">
        <f t="shared" si="9"/>
        <v>0</v>
      </c>
      <c r="U116" s="153" t="e">
        <f>+VLOOKUP($M116,Data_Validation!$A:$D,1,0)</f>
        <v>#N/A</v>
      </c>
      <c r="V116" s="153" t="e">
        <f>+VLOOKUP($M116,Data_Validation!$A:$D,3,0)</f>
        <v>#N/A</v>
      </c>
      <c r="W116" s="153" t="e">
        <f>+VLOOKUP($M116,Data_Validation!$A:$D,4,0)</f>
        <v>#N/A</v>
      </c>
      <c r="X116" s="153" t="e">
        <f>+VLOOKUP($M116,Data_Validation!$A:$E,5,0)</f>
        <v>#N/A</v>
      </c>
      <c r="Y116" s="153" t="e">
        <f>+VLOOKUP($M116,Data_Validation!$A:$F,6,0)</f>
        <v>#N/A</v>
      </c>
    </row>
    <row r="117" spans="2:25" ht="15.75" customHeight="1">
      <c r="B117" s="1398"/>
      <c r="C117" s="1401"/>
      <c r="D117" s="1400"/>
      <c r="E117" s="1400"/>
      <c r="F117" s="1400"/>
      <c r="G117" s="1398"/>
      <c r="H117" s="1398"/>
      <c r="I117" s="948"/>
      <c r="J117" s="951"/>
      <c r="K117" s="951"/>
      <c r="L117" s="951"/>
      <c r="M117" s="150">
        <f t="shared" si="5"/>
        <v>0</v>
      </c>
      <c r="N117" s="151">
        <f t="shared" si="6"/>
        <v>0</v>
      </c>
      <c r="O117" s="152">
        <f>+IF(OR($R117=Parametres!$G$2,$R117=Parametres!$G$3),J117,D117)</f>
        <v>0</v>
      </c>
      <c r="P117" s="1085">
        <f>+IF(OR($R117=Parametres!$G$2,$R117=Parametres!$G$3),K117,E117)</f>
        <v>0</v>
      </c>
      <c r="Q117" s="152">
        <f>+IF(OR($R117=Parametres!$G$2,$R117=Parametres!$G$3),L117,F117)</f>
        <v>0</v>
      </c>
      <c r="R117" s="151">
        <f t="shared" si="7"/>
        <v>0</v>
      </c>
      <c r="S117" s="150">
        <f t="shared" si="8"/>
        <v>0</v>
      </c>
      <c r="T117" s="151">
        <f t="shared" si="9"/>
        <v>0</v>
      </c>
      <c r="U117" s="153" t="e">
        <f>+VLOOKUP($M117,Data_Validation!$A:$D,1,0)</f>
        <v>#N/A</v>
      </c>
      <c r="V117" s="153" t="e">
        <f>+VLOOKUP($M117,Data_Validation!$A:$D,3,0)</f>
        <v>#N/A</v>
      </c>
      <c r="W117" s="153" t="e">
        <f>+VLOOKUP($M117,Data_Validation!$A:$D,4,0)</f>
        <v>#N/A</v>
      </c>
      <c r="X117" s="153" t="e">
        <f>+VLOOKUP($M117,Data_Validation!$A:$E,5,0)</f>
        <v>#N/A</v>
      </c>
      <c r="Y117" s="153" t="e">
        <f>+VLOOKUP($M117,Data_Validation!$A:$F,6,0)</f>
        <v>#N/A</v>
      </c>
    </row>
    <row r="118" spans="2:25" ht="15" customHeight="1">
      <c r="B118" s="1398"/>
      <c r="C118" s="1401"/>
      <c r="D118" s="1400"/>
      <c r="E118" s="1400"/>
      <c r="F118" s="1400"/>
      <c r="G118" s="1398"/>
      <c r="H118" s="1398"/>
      <c r="I118" s="948"/>
      <c r="J118" s="949"/>
      <c r="K118" s="949"/>
      <c r="L118" s="949"/>
      <c r="M118" s="150">
        <f t="shared" si="5"/>
        <v>0</v>
      </c>
      <c r="N118" s="151">
        <f t="shared" si="6"/>
        <v>0</v>
      </c>
      <c r="O118" s="152">
        <f>+IF(OR($R118=Parametres!$G$2,$R118=Parametres!$G$3),J118,D118)</f>
        <v>0</v>
      </c>
      <c r="P118" s="1085">
        <f>+IF(OR($R118=Parametres!$G$2,$R118=Parametres!$G$3),K118,E118)</f>
        <v>0</v>
      </c>
      <c r="Q118" s="152">
        <f>+IF(OR($R118=Parametres!$G$2,$R118=Parametres!$G$3),L118,F118)</f>
        <v>0</v>
      </c>
      <c r="R118" s="151">
        <f t="shared" si="7"/>
        <v>0</v>
      </c>
      <c r="S118" s="150">
        <f t="shared" si="8"/>
        <v>0</v>
      </c>
      <c r="T118" s="151">
        <f t="shared" si="9"/>
        <v>0</v>
      </c>
      <c r="U118" s="153" t="e">
        <f>+VLOOKUP($M118,Data_Validation!$A:$D,1,0)</f>
        <v>#N/A</v>
      </c>
      <c r="V118" s="153" t="e">
        <f>+VLOOKUP($M118,Data_Validation!$A:$D,3,0)</f>
        <v>#N/A</v>
      </c>
      <c r="W118" s="153" t="e">
        <f>+VLOOKUP($M118,Data_Validation!$A:$D,4,0)</f>
        <v>#N/A</v>
      </c>
      <c r="X118" s="153" t="e">
        <f>+VLOOKUP($M118,Data_Validation!$A:$E,5,0)</f>
        <v>#N/A</v>
      </c>
      <c r="Y118" s="153" t="e">
        <f>+VLOOKUP($M118,Data_Validation!$A:$F,6,0)</f>
        <v>#N/A</v>
      </c>
    </row>
    <row r="119" spans="2:25" ht="15" customHeight="1">
      <c r="B119" s="1398"/>
      <c r="C119" s="1401"/>
      <c r="D119" s="1400"/>
      <c r="E119" s="1400"/>
      <c r="F119" s="1400"/>
      <c r="G119" s="1398"/>
      <c r="H119" s="1398"/>
      <c r="I119" s="928"/>
      <c r="J119" s="927"/>
      <c r="K119" s="927"/>
      <c r="L119" s="927"/>
      <c r="M119" s="150">
        <f t="shared" si="5"/>
        <v>0</v>
      </c>
      <c r="N119" s="151">
        <f t="shared" si="6"/>
        <v>0</v>
      </c>
      <c r="O119" s="152">
        <f>+IF(OR($R119=Parametres!$G$2,$R119=Parametres!$G$3),J119,D119)</f>
        <v>0</v>
      </c>
      <c r="P119" s="1085">
        <f>+IF(OR($R119=Parametres!$G$2,$R119=Parametres!$G$3),K119,E119)</f>
        <v>0</v>
      </c>
      <c r="Q119" s="152">
        <f>+IF(OR($R119=Parametres!$G$2,$R119=Parametres!$G$3),L119,F119)</f>
        <v>0</v>
      </c>
      <c r="R119" s="151">
        <f t="shared" si="7"/>
        <v>0</v>
      </c>
      <c r="S119" s="150">
        <f t="shared" si="8"/>
        <v>0</v>
      </c>
      <c r="T119" s="151">
        <f t="shared" si="9"/>
        <v>0</v>
      </c>
      <c r="U119" s="153" t="e">
        <f>+VLOOKUP($M119,Data_Validation!$A:$D,1,0)</f>
        <v>#N/A</v>
      </c>
      <c r="V119" s="153" t="e">
        <f>+VLOOKUP($M119,Data_Validation!$A:$D,3,0)</f>
        <v>#N/A</v>
      </c>
      <c r="W119" s="153" t="e">
        <f>+VLOOKUP($M119,Data_Validation!$A:$D,4,0)</f>
        <v>#N/A</v>
      </c>
      <c r="X119" s="153" t="e">
        <f>+VLOOKUP($M119,Data_Validation!$A:$E,5,0)</f>
        <v>#N/A</v>
      </c>
      <c r="Y119" s="153" t="e">
        <f>+VLOOKUP($M119,Data_Validation!$A:$F,6,0)</f>
        <v>#N/A</v>
      </c>
    </row>
    <row r="120" spans="2:25" ht="15" customHeight="1">
      <c r="B120" s="1398"/>
      <c r="C120" s="1401"/>
      <c r="D120" s="1400"/>
      <c r="E120" s="1400"/>
      <c r="F120" s="1400"/>
      <c r="G120" s="1398"/>
      <c r="H120" s="1398"/>
      <c r="I120" s="1198"/>
      <c r="J120" s="1199"/>
      <c r="K120" s="1199"/>
      <c r="L120" s="1199"/>
      <c r="M120" s="150">
        <f t="shared" si="5"/>
        <v>0</v>
      </c>
      <c r="N120" s="151">
        <f t="shared" si="6"/>
        <v>0</v>
      </c>
      <c r="O120" s="152">
        <f>+IF(OR($R120=Parametres!$G$2,$R120=Parametres!$G$3),J120,D120)</f>
        <v>0</v>
      </c>
      <c r="P120" s="1085">
        <f>+IF(OR($R120=Parametres!$G$2,$R120=Parametres!$G$3),K120,E120)</f>
        <v>0</v>
      </c>
      <c r="Q120" s="152">
        <f>+IF(OR($R120=Parametres!$G$2,$R120=Parametres!$G$3),L120,F120)</f>
        <v>0</v>
      </c>
      <c r="R120" s="151">
        <f t="shared" si="7"/>
        <v>0</v>
      </c>
      <c r="S120" s="150">
        <f t="shared" si="8"/>
        <v>0</v>
      </c>
      <c r="T120" s="151">
        <f t="shared" si="9"/>
        <v>0</v>
      </c>
      <c r="U120" s="153" t="e">
        <f>+VLOOKUP($M120,Data_Validation!$A:$D,1,0)</f>
        <v>#N/A</v>
      </c>
      <c r="V120" s="153" t="e">
        <f>+VLOOKUP($M120,Data_Validation!$A:$D,3,0)</f>
        <v>#N/A</v>
      </c>
      <c r="W120" s="153" t="e">
        <f>+VLOOKUP($M120,Data_Validation!$A:$D,4,0)</f>
        <v>#N/A</v>
      </c>
      <c r="X120" s="153" t="e">
        <f>+VLOOKUP($M120,Data_Validation!$A:$E,5,0)</f>
        <v>#N/A</v>
      </c>
      <c r="Y120" s="153" t="e">
        <f>+VLOOKUP($M120,Data_Validation!$A:$F,6,0)</f>
        <v>#N/A</v>
      </c>
    </row>
    <row r="121" spans="2:25" ht="15" customHeight="1">
      <c r="B121" s="1398"/>
      <c r="C121" s="1401"/>
      <c r="D121" s="1400"/>
      <c r="E121" s="1400"/>
      <c r="F121" s="1400"/>
      <c r="G121" s="1398"/>
      <c r="H121" s="1398"/>
      <c r="I121" s="1198"/>
      <c r="J121" s="1198"/>
      <c r="K121" s="1198"/>
      <c r="L121" s="1198"/>
      <c r="M121" s="150">
        <f t="shared" si="5"/>
        <v>0</v>
      </c>
      <c r="N121" s="151">
        <f t="shared" si="6"/>
        <v>0</v>
      </c>
      <c r="O121" s="152">
        <f>+IF(OR($R121=Parametres!$G$2,$R121=Parametres!$G$3),J121,D121)</f>
        <v>0</v>
      </c>
      <c r="P121" s="1083">
        <f>+IF(OR($R121=Parametres!$G$2,$R121=Parametres!$G$3),K121,E121)</f>
        <v>0</v>
      </c>
      <c r="Q121" s="152">
        <f>+IF(OR($R121=Parametres!$G$2,$R121=Parametres!$G$3),L121,F121)</f>
        <v>0</v>
      </c>
      <c r="R121" s="151">
        <f t="shared" si="7"/>
        <v>0</v>
      </c>
      <c r="S121" s="150">
        <f t="shared" si="8"/>
        <v>0</v>
      </c>
      <c r="T121" s="151">
        <f t="shared" si="9"/>
        <v>0</v>
      </c>
      <c r="U121" s="153" t="e">
        <f>+VLOOKUP($M121,Data_Validation!$A:$D,1,0)</f>
        <v>#N/A</v>
      </c>
      <c r="V121" s="153" t="e">
        <f>+VLOOKUP($M121,Data_Validation!$A:$D,3,0)</f>
        <v>#N/A</v>
      </c>
      <c r="W121" s="153" t="e">
        <f>+VLOOKUP($M121,Data_Validation!$A:$D,4,0)</f>
        <v>#N/A</v>
      </c>
      <c r="X121" s="153" t="e">
        <f>+VLOOKUP($M121,Data_Validation!$A:$E,5,0)</f>
        <v>#N/A</v>
      </c>
      <c r="Y121" s="153" t="e">
        <f>+VLOOKUP($M121,Data_Validation!$A:$F,6,0)</f>
        <v>#N/A</v>
      </c>
    </row>
    <row r="122" spans="2:25" ht="15" customHeight="1">
      <c r="B122" s="1398"/>
      <c r="C122" s="1401"/>
      <c r="D122" s="1400"/>
      <c r="E122" s="1400"/>
      <c r="F122" s="1400"/>
      <c r="G122" s="1398"/>
      <c r="H122" s="1398"/>
      <c r="I122" s="1198"/>
      <c r="J122" s="1199"/>
      <c r="K122" s="1199"/>
      <c r="L122" s="1199"/>
      <c r="M122" s="150">
        <f t="shared" si="5"/>
        <v>0</v>
      </c>
      <c r="N122" s="151">
        <f t="shared" si="6"/>
        <v>0</v>
      </c>
      <c r="O122" s="152">
        <f>+IF(OR($R122=Parametres!$G$2,$R122=Parametres!$G$3),J122,D122)</f>
        <v>0</v>
      </c>
      <c r="P122" s="1085">
        <f>+IF(OR($R122=Parametres!$G$2,$R122=Parametres!$G$3),K122,E122)</f>
        <v>0</v>
      </c>
      <c r="Q122" s="152">
        <f>+IF(OR($R122=Parametres!$G$2,$R122=Parametres!$G$3),L122,F122)</f>
        <v>0</v>
      </c>
      <c r="R122" s="151">
        <f t="shared" si="7"/>
        <v>0</v>
      </c>
      <c r="S122" s="150">
        <f t="shared" si="8"/>
        <v>0</v>
      </c>
      <c r="T122" s="151">
        <f t="shared" si="9"/>
        <v>0</v>
      </c>
      <c r="U122" s="153" t="e">
        <f>+VLOOKUP($M122,Data_Validation!$A:$D,1,0)</f>
        <v>#N/A</v>
      </c>
      <c r="V122" s="153" t="e">
        <f>+VLOOKUP($M122,Data_Validation!$A:$D,3,0)</f>
        <v>#N/A</v>
      </c>
      <c r="W122" s="153" t="e">
        <f>+VLOOKUP($M122,Data_Validation!$A:$D,4,0)</f>
        <v>#N/A</v>
      </c>
      <c r="X122" s="153" t="e">
        <f>+VLOOKUP($M122,Data_Validation!$A:$E,5,0)</f>
        <v>#N/A</v>
      </c>
      <c r="Y122" s="153" t="e">
        <f>+VLOOKUP($M122,Data_Validation!$A:$F,6,0)</f>
        <v>#N/A</v>
      </c>
    </row>
    <row r="123" spans="2:25" ht="15.75" customHeight="1">
      <c r="B123" s="1398"/>
      <c r="C123" s="1401"/>
      <c r="D123" s="1400"/>
      <c r="E123" s="1400"/>
      <c r="F123" s="1400"/>
      <c r="G123" s="1398"/>
      <c r="H123" s="1398"/>
      <c r="I123" s="1198"/>
      <c r="J123" s="1198"/>
      <c r="K123" s="1198"/>
      <c r="L123" s="1198"/>
      <c r="M123" s="150">
        <f t="shared" si="5"/>
        <v>0</v>
      </c>
      <c r="N123" s="151">
        <f t="shared" si="6"/>
        <v>0</v>
      </c>
      <c r="O123" s="152">
        <f>+IF(OR($R123=Parametres!$G$2,$R123=Parametres!$G$3),J123,D123)</f>
        <v>0</v>
      </c>
      <c r="P123" s="1083">
        <f>+IF(OR($R123=Parametres!$G$2,$R123=Parametres!$G$3),K123,E123)</f>
        <v>0</v>
      </c>
      <c r="Q123" s="152">
        <f>+IF(OR($R123=Parametres!$G$2,$R123=Parametres!$G$3),L123,F123)</f>
        <v>0</v>
      </c>
      <c r="R123" s="151">
        <f t="shared" si="7"/>
        <v>0</v>
      </c>
      <c r="S123" s="150">
        <f t="shared" si="8"/>
        <v>0</v>
      </c>
      <c r="T123" s="151">
        <f t="shared" si="9"/>
        <v>0</v>
      </c>
      <c r="U123" s="153" t="e">
        <f>+VLOOKUP($M123,Data_Validation!$A:$D,1,0)</f>
        <v>#N/A</v>
      </c>
      <c r="V123" s="153" t="e">
        <f>+VLOOKUP($M123,Data_Validation!$A:$D,3,0)</f>
        <v>#N/A</v>
      </c>
      <c r="W123" s="153" t="e">
        <f>+VLOOKUP($M123,Data_Validation!$A:$D,4,0)</f>
        <v>#N/A</v>
      </c>
      <c r="X123" s="153" t="e">
        <f>+VLOOKUP($M123,Data_Validation!$A:$E,5,0)</f>
        <v>#N/A</v>
      </c>
      <c r="Y123" s="153" t="e">
        <f>+VLOOKUP($M123,Data_Validation!$A:$F,6,0)</f>
        <v>#N/A</v>
      </c>
    </row>
    <row r="124" spans="2:25" ht="15" customHeight="1">
      <c r="B124" s="1398"/>
      <c r="C124" s="1401"/>
      <c r="D124" s="1400"/>
      <c r="E124" s="1400"/>
      <c r="F124" s="1400"/>
      <c r="G124" s="1398"/>
      <c r="H124" s="1398"/>
      <c r="I124" s="1198"/>
      <c r="J124" s="1199"/>
      <c r="K124" s="1199"/>
      <c r="L124" s="1199"/>
      <c r="M124" s="150">
        <f t="shared" si="5"/>
        <v>0</v>
      </c>
      <c r="N124" s="151">
        <f t="shared" si="6"/>
        <v>0</v>
      </c>
      <c r="O124" s="152">
        <f>+IF(OR($R124=Parametres!$G$2,$R124=Parametres!$G$3),J124,D124)</f>
        <v>0</v>
      </c>
      <c r="P124" s="1085">
        <f>+IF(OR($R124=Parametres!$G$2,$R124=Parametres!$G$3),K124,E124)</f>
        <v>0</v>
      </c>
      <c r="Q124" s="152">
        <f>+IF(OR($R124=Parametres!$G$2,$R124=Parametres!$G$3),L124,F124)</f>
        <v>0</v>
      </c>
      <c r="R124" s="151">
        <f t="shared" si="7"/>
        <v>0</v>
      </c>
      <c r="S124" s="150">
        <f t="shared" si="8"/>
        <v>0</v>
      </c>
      <c r="T124" s="151">
        <f t="shared" si="9"/>
        <v>0</v>
      </c>
      <c r="U124" s="153" t="e">
        <f>+VLOOKUP($M124,Data_Validation!$A:$D,1,0)</f>
        <v>#N/A</v>
      </c>
      <c r="V124" s="153" t="e">
        <f>+VLOOKUP($M124,Data_Validation!$A:$D,3,0)</f>
        <v>#N/A</v>
      </c>
      <c r="W124" s="153" t="e">
        <f>+VLOOKUP($M124,Data_Validation!$A:$D,4,0)</f>
        <v>#N/A</v>
      </c>
      <c r="X124" s="153" t="e">
        <f>+VLOOKUP($M124,Data_Validation!$A:$E,5,0)</f>
        <v>#N/A</v>
      </c>
      <c r="Y124" s="153" t="e">
        <f>+VLOOKUP($M124,Data_Validation!$A:$F,6,0)</f>
        <v>#N/A</v>
      </c>
    </row>
    <row r="125" spans="2:25" ht="15" customHeight="1">
      <c r="B125" s="1398"/>
      <c r="C125" s="1401"/>
      <c r="D125" s="1400"/>
      <c r="E125" s="1400"/>
      <c r="F125" s="1400"/>
      <c r="G125" s="1398"/>
      <c r="H125" s="1398"/>
      <c r="I125" s="1198"/>
      <c r="J125" s="1198"/>
      <c r="K125" s="1198"/>
      <c r="L125" s="1198"/>
      <c r="M125" s="150">
        <f t="shared" si="5"/>
        <v>0</v>
      </c>
      <c r="N125" s="151">
        <f t="shared" si="6"/>
        <v>0</v>
      </c>
      <c r="O125" s="152">
        <f>+IF(OR($R125=Parametres!$G$2,$R125=Parametres!$G$3),J125,D125)</f>
        <v>0</v>
      </c>
      <c r="P125" s="1085">
        <f>+IF(OR($R125=Parametres!$G$2,$R125=Parametres!$G$3),K125,E125)</f>
        <v>0</v>
      </c>
      <c r="Q125" s="152">
        <f>+IF(OR($R125=Parametres!$G$2,$R125=Parametres!$G$3),L125,F125)</f>
        <v>0</v>
      </c>
      <c r="R125" s="151">
        <f t="shared" si="7"/>
        <v>0</v>
      </c>
      <c r="S125" s="150">
        <f t="shared" si="8"/>
        <v>0</v>
      </c>
      <c r="T125" s="151">
        <f t="shared" si="9"/>
        <v>0</v>
      </c>
      <c r="U125" s="153" t="e">
        <f>+VLOOKUP($M125,Data_Validation!$A:$D,1,0)</f>
        <v>#N/A</v>
      </c>
      <c r="V125" s="153" t="e">
        <f>+VLOOKUP($M125,Data_Validation!$A:$D,3,0)</f>
        <v>#N/A</v>
      </c>
      <c r="W125" s="153" t="e">
        <f>+VLOOKUP($M125,Data_Validation!$A:$D,4,0)</f>
        <v>#N/A</v>
      </c>
      <c r="X125" s="153" t="e">
        <f>+VLOOKUP($M125,Data_Validation!$A:$E,5,0)</f>
        <v>#N/A</v>
      </c>
      <c r="Y125" s="153" t="e">
        <f>+VLOOKUP($M125,Data_Validation!$A:$F,6,0)</f>
        <v>#N/A</v>
      </c>
    </row>
    <row r="126" spans="2:25" ht="15" customHeight="1">
      <c r="B126" s="1398"/>
      <c r="C126" s="1401"/>
      <c r="D126" s="1400"/>
      <c r="E126" s="1400"/>
      <c r="F126" s="1400"/>
      <c r="G126" s="1398"/>
      <c r="H126" s="1398"/>
      <c r="I126" s="1198"/>
      <c r="J126" s="1199"/>
      <c r="K126" s="1199"/>
      <c r="L126" s="1199"/>
      <c r="M126" s="150">
        <f t="shared" si="5"/>
        <v>0</v>
      </c>
      <c r="N126" s="151">
        <f t="shared" si="6"/>
        <v>0</v>
      </c>
      <c r="O126" s="152">
        <f>+IF(OR($R126=Parametres!$G$2,$R126=Parametres!$G$3),J126,D126)</f>
        <v>0</v>
      </c>
      <c r="P126" s="1085">
        <f>+IF(OR($R126=Parametres!$G$2,$R126=Parametres!$G$3),K126,E126)</f>
        <v>0</v>
      </c>
      <c r="Q126" s="152">
        <f>+IF(OR($R126=Parametres!$G$2,$R126=Parametres!$G$3),L126,F126)</f>
        <v>0</v>
      </c>
      <c r="R126" s="151">
        <f t="shared" si="7"/>
        <v>0</v>
      </c>
      <c r="S126" s="150">
        <f t="shared" si="8"/>
        <v>0</v>
      </c>
      <c r="T126" s="151">
        <f t="shared" si="9"/>
        <v>0</v>
      </c>
      <c r="U126" s="153" t="e">
        <f>+VLOOKUP($M126,Data_Validation!$A:$D,1,0)</f>
        <v>#N/A</v>
      </c>
      <c r="V126" s="153" t="e">
        <f>+VLOOKUP($M126,Data_Validation!$A:$D,3,0)</f>
        <v>#N/A</v>
      </c>
      <c r="W126" s="153" t="e">
        <f>+VLOOKUP($M126,Data_Validation!$A:$D,4,0)</f>
        <v>#N/A</v>
      </c>
      <c r="X126" s="153" t="e">
        <f>+VLOOKUP($M126,Data_Validation!$A:$E,5,0)</f>
        <v>#N/A</v>
      </c>
      <c r="Y126" s="153" t="e">
        <f>+VLOOKUP($M126,Data_Validation!$A:$F,6,0)</f>
        <v>#N/A</v>
      </c>
    </row>
    <row r="127" spans="2:25" ht="15" customHeight="1">
      <c r="B127" s="1398"/>
      <c r="C127" s="1401"/>
      <c r="D127" s="1400"/>
      <c r="E127" s="1400"/>
      <c r="F127" s="1400"/>
      <c r="G127" s="1398"/>
      <c r="H127" s="1398"/>
      <c r="I127" s="948"/>
      <c r="J127" s="949"/>
      <c r="K127" s="949"/>
      <c r="L127" s="949"/>
      <c r="M127" s="150">
        <f t="shared" si="5"/>
        <v>0</v>
      </c>
      <c r="N127" s="151">
        <f t="shared" si="6"/>
        <v>0</v>
      </c>
      <c r="O127" s="152">
        <f>+IF(OR($R127=Parametres!$G$2,$R127=Parametres!$G$3),J127,D127)</f>
        <v>0</v>
      </c>
      <c r="P127" s="1085">
        <f>+IF(OR($R127=Parametres!$G$2,$R127=Parametres!$G$3),K127,E127)</f>
        <v>0</v>
      </c>
      <c r="Q127" s="152">
        <f>+IF(OR($R127=Parametres!$G$2,$R127=Parametres!$G$3),L127,F127)</f>
        <v>0</v>
      </c>
      <c r="R127" s="151">
        <f t="shared" si="7"/>
        <v>0</v>
      </c>
      <c r="S127" s="150">
        <f t="shared" si="8"/>
        <v>0</v>
      </c>
      <c r="T127" s="151">
        <f t="shared" si="9"/>
        <v>0</v>
      </c>
      <c r="U127" s="153" t="e">
        <f>+VLOOKUP($M127,Data_Validation!$A:$D,1,0)</f>
        <v>#N/A</v>
      </c>
      <c r="V127" s="153" t="e">
        <f>+VLOOKUP($M127,Data_Validation!$A:$D,3,0)</f>
        <v>#N/A</v>
      </c>
      <c r="W127" s="153" t="e">
        <f>+VLOOKUP($M127,Data_Validation!$A:$D,4,0)</f>
        <v>#N/A</v>
      </c>
      <c r="X127" s="153" t="e">
        <f>+VLOOKUP($M127,Data_Validation!$A:$E,5,0)</f>
        <v>#N/A</v>
      </c>
      <c r="Y127" s="153" t="e">
        <f>+VLOOKUP($M127,Data_Validation!$A:$F,6,0)</f>
        <v>#N/A</v>
      </c>
    </row>
    <row r="128" spans="2:25" ht="15" customHeight="1">
      <c r="B128" s="1398"/>
      <c r="C128" s="1401"/>
      <c r="D128" s="1400"/>
      <c r="E128" s="1400"/>
      <c r="F128" s="1400"/>
      <c r="G128" s="1398"/>
      <c r="H128" s="1398"/>
      <c r="I128" s="928"/>
      <c r="J128" s="927"/>
      <c r="K128" s="927"/>
      <c r="L128" s="927"/>
      <c r="M128" s="150">
        <f t="shared" si="5"/>
        <v>0</v>
      </c>
      <c r="N128" s="151">
        <f t="shared" si="6"/>
        <v>0</v>
      </c>
      <c r="O128" s="152">
        <f>+IF(OR($R128=Parametres!$G$2,$R128=Parametres!$G$3),J128,D128)</f>
        <v>0</v>
      </c>
      <c r="P128" s="1085">
        <f>+IF(OR($R128=Parametres!$G$2,$R128=Parametres!$G$3),K128,E128)</f>
        <v>0</v>
      </c>
      <c r="Q128" s="152">
        <f>+IF(OR($R128=Parametres!$G$2,$R128=Parametres!$G$3),L128,F128)</f>
        <v>0</v>
      </c>
      <c r="R128" s="151">
        <f t="shared" si="7"/>
        <v>0</v>
      </c>
      <c r="S128" s="150">
        <f t="shared" si="8"/>
        <v>0</v>
      </c>
      <c r="T128" s="151">
        <f t="shared" si="9"/>
        <v>0</v>
      </c>
      <c r="U128" s="153" t="e">
        <f>+VLOOKUP($M128,Data_Validation!$A:$D,1,0)</f>
        <v>#N/A</v>
      </c>
      <c r="V128" s="153" t="e">
        <f>+VLOOKUP($M128,Data_Validation!$A:$D,3,0)</f>
        <v>#N/A</v>
      </c>
      <c r="W128" s="153" t="e">
        <f>+VLOOKUP($M128,Data_Validation!$A:$D,4,0)</f>
        <v>#N/A</v>
      </c>
      <c r="X128" s="153" t="e">
        <f>+VLOOKUP($M128,Data_Validation!$A:$E,5,0)</f>
        <v>#N/A</v>
      </c>
      <c r="Y128" s="153" t="e">
        <f>+VLOOKUP($M128,Data_Validation!$A:$F,6,0)</f>
        <v>#N/A</v>
      </c>
    </row>
    <row r="129" spans="2:25" ht="15" customHeight="1">
      <c r="B129" s="1398"/>
      <c r="C129" s="1401"/>
      <c r="D129" s="1400"/>
      <c r="E129" s="1400"/>
      <c r="F129" s="1400"/>
      <c r="G129" s="1398"/>
      <c r="H129" s="1398"/>
      <c r="I129" s="948"/>
      <c r="J129" s="949"/>
      <c r="K129" s="949"/>
      <c r="L129" s="949"/>
      <c r="M129" s="150">
        <f t="shared" si="5"/>
        <v>0</v>
      </c>
      <c r="N129" s="151">
        <f t="shared" si="6"/>
        <v>0</v>
      </c>
      <c r="O129" s="152">
        <f>+IF(OR($R129=Parametres!$G$2,$R129=Parametres!$G$3),J129,D129)</f>
        <v>0</v>
      </c>
      <c r="P129" s="1085">
        <f>+IF(OR($R129=Parametres!$G$2,$R129=Parametres!$G$3),K129,E129)</f>
        <v>0</v>
      </c>
      <c r="Q129" s="152">
        <f>+IF(OR($R129=Parametres!$G$2,$R129=Parametres!$G$3),L129,F129)</f>
        <v>0</v>
      </c>
      <c r="R129" s="151">
        <f t="shared" si="7"/>
        <v>0</v>
      </c>
      <c r="S129" s="150">
        <f t="shared" si="8"/>
        <v>0</v>
      </c>
      <c r="T129" s="151">
        <f t="shared" si="9"/>
        <v>0</v>
      </c>
      <c r="U129" s="153" t="e">
        <f>+VLOOKUP($M129,Data_Validation!$A:$D,1,0)</f>
        <v>#N/A</v>
      </c>
      <c r="V129" s="153" t="e">
        <f>+VLOOKUP($M129,Data_Validation!$A:$D,3,0)</f>
        <v>#N/A</v>
      </c>
      <c r="W129" s="153" t="e">
        <f>+VLOOKUP($M129,Data_Validation!$A:$D,4,0)</f>
        <v>#N/A</v>
      </c>
      <c r="X129" s="153" t="e">
        <f>+VLOOKUP($M129,Data_Validation!$A:$E,5,0)</f>
        <v>#N/A</v>
      </c>
      <c r="Y129" s="153" t="e">
        <f>+VLOOKUP($M129,Data_Validation!$A:$F,6,0)</f>
        <v>#N/A</v>
      </c>
    </row>
    <row r="130" spans="2:25" ht="15" customHeight="1">
      <c r="B130" s="1398"/>
      <c r="C130" s="1401"/>
      <c r="D130" s="1400"/>
      <c r="E130" s="1400"/>
      <c r="F130" s="1400"/>
      <c r="G130" s="1398"/>
      <c r="H130" s="1398"/>
      <c r="I130" s="1198"/>
      <c r="J130" s="1198"/>
      <c r="K130" s="1198"/>
      <c r="L130" s="1198"/>
      <c r="M130" s="150">
        <f t="shared" ref="M130:M193" si="10">+C130</f>
        <v>0</v>
      </c>
      <c r="N130" s="151">
        <f t="shared" ref="N130:N193" si="11">+B130</f>
        <v>0</v>
      </c>
      <c r="O130" s="152">
        <f>+IF(OR($R130=Parametres!$G$2,$R130=Parametres!$G$3),J130,D130)</f>
        <v>0</v>
      </c>
      <c r="P130" s="1085">
        <f>+IF(OR($R130=Parametres!$G$2,$R130=Parametres!$G$3),K130,E130)</f>
        <v>0</v>
      </c>
      <c r="Q130" s="152">
        <f>+IF(OR($R130=Parametres!$G$2,$R130=Parametres!$G$3),L130,F130)</f>
        <v>0</v>
      </c>
      <c r="R130" s="151">
        <f t="shared" ref="R130:R193" si="12">+G130</f>
        <v>0</v>
      </c>
      <c r="S130" s="150">
        <f t="shared" ref="S130:S193" si="13">+H130</f>
        <v>0</v>
      </c>
      <c r="T130" s="151">
        <f t="shared" ref="T130:T193" si="14">+I130</f>
        <v>0</v>
      </c>
      <c r="U130" s="153" t="e">
        <f>+VLOOKUP($M130,Data_Validation!$A:$D,1,0)</f>
        <v>#N/A</v>
      </c>
      <c r="V130" s="153" t="e">
        <f>+VLOOKUP($M130,Data_Validation!$A:$D,3,0)</f>
        <v>#N/A</v>
      </c>
      <c r="W130" s="153" t="e">
        <f>+VLOOKUP($M130,Data_Validation!$A:$D,4,0)</f>
        <v>#N/A</v>
      </c>
      <c r="X130" s="153" t="e">
        <f>+VLOOKUP($M130,Data_Validation!$A:$E,5,0)</f>
        <v>#N/A</v>
      </c>
      <c r="Y130" s="153" t="e">
        <f>+VLOOKUP($M130,Data_Validation!$A:$F,6,0)</f>
        <v>#N/A</v>
      </c>
    </row>
    <row r="131" spans="2:25" ht="15.75" customHeight="1">
      <c r="B131" s="1398"/>
      <c r="C131" s="1401"/>
      <c r="D131" s="1400"/>
      <c r="E131" s="1400"/>
      <c r="F131" s="1400"/>
      <c r="G131" s="1398"/>
      <c r="H131" s="1398"/>
      <c r="I131" s="1198"/>
      <c r="J131" s="1198"/>
      <c r="K131" s="1198"/>
      <c r="L131" s="1198"/>
      <c r="M131" s="150">
        <f t="shared" si="10"/>
        <v>0</v>
      </c>
      <c r="N131" s="151">
        <f t="shared" si="11"/>
        <v>0</v>
      </c>
      <c r="O131" s="152">
        <f>+IF(OR($R131=Parametres!$G$2,$R131=Parametres!$G$3),J131,D131)</f>
        <v>0</v>
      </c>
      <c r="P131" s="1083">
        <f>+IF(OR($R131=Parametres!$G$2,$R131=Parametres!$G$3),K131,E131)</f>
        <v>0</v>
      </c>
      <c r="Q131" s="152">
        <f>+IF(OR($R131=Parametres!$G$2,$R131=Parametres!$G$3),L131,F131)</f>
        <v>0</v>
      </c>
      <c r="R131" s="151">
        <f t="shared" si="12"/>
        <v>0</v>
      </c>
      <c r="S131" s="150">
        <f t="shared" si="13"/>
        <v>0</v>
      </c>
      <c r="T131" s="151">
        <f t="shared" si="14"/>
        <v>0</v>
      </c>
      <c r="U131" s="153" t="e">
        <f>+VLOOKUP($M131,Data_Validation!$A:$D,1,0)</f>
        <v>#N/A</v>
      </c>
      <c r="V131" s="153" t="e">
        <f>+VLOOKUP($M131,Data_Validation!$A:$D,3,0)</f>
        <v>#N/A</v>
      </c>
      <c r="W131" s="153" t="e">
        <f>+VLOOKUP($M131,Data_Validation!$A:$D,4,0)</f>
        <v>#N/A</v>
      </c>
      <c r="X131" s="153" t="e">
        <f>+VLOOKUP($M131,Data_Validation!$A:$E,5,0)</f>
        <v>#N/A</v>
      </c>
      <c r="Y131" s="153" t="e">
        <f>+VLOOKUP($M131,Data_Validation!$A:$F,6,0)</f>
        <v>#N/A</v>
      </c>
    </row>
    <row r="132" spans="2:25" ht="15" customHeight="1">
      <c r="B132" s="1398"/>
      <c r="C132" s="1401"/>
      <c r="D132" s="1400"/>
      <c r="E132" s="1400"/>
      <c r="F132" s="1400"/>
      <c r="G132" s="1398"/>
      <c r="H132" s="1398"/>
      <c r="I132" s="1198"/>
      <c r="J132" s="1198"/>
      <c r="K132" s="1198"/>
      <c r="L132" s="1198"/>
      <c r="M132" s="150">
        <f t="shared" si="10"/>
        <v>0</v>
      </c>
      <c r="N132" s="151">
        <f t="shared" si="11"/>
        <v>0</v>
      </c>
      <c r="O132" s="152">
        <f>+IF(OR($R132=Parametres!$G$2,$R132=Parametres!$G$3),J132,D132)</f>
        <v>0</v>
      </c>
      <c r="P132" s="1085">
        <f>+IF(OR($R132=Parametres!$G$2,$R132=Parametres!$G$3),K132,E132)</f>
        <v>0</v>
      </c>
      <c r="Q132" s="152">
        <f>+IF(OR($R132=Parametres!$G$2,$R132=Parametres!$G$3),L132,F132)</f>
        <v>0</v>
      </c>
      <c r="R132" s="151">
        <f t="shared" si="12"/>
        <v>0</v>
      </c>
      <c r="S132" s="150">
        <f t="shared" si="13"/>
        <v>0</v>
      </c>
      <c r="T132" s="151">
        <f t="shared" si="14"/>
        <v>0</v>
      </c>
      <c r="U132" s="153" t="e">
        <f>+VLOOKUP($M132,Data_Validation!$A:$D,1,0)</f>
        <v>#N/A</v>
      </c>
      <c r="V132" s="153" t="e">
        <f>+VLOOKUP($M132,Data_Validation!$A:$D,3,0)</f>
        <v>#N/A</v>
      </c>
      <c r="W132" s="153" t="e">
        <f>+VLOOKUP($M132,Data_Validation!$A:$D,4,0)</f>
        <v>#N/A</v>
      </c>
      <c r="X132" s="153" t="e">
        <f>+VLOOKUP($M132,Data_Validation!$A:$E,5,0)</f>
        <v>#N/A</v>
      </c>
      <c r="Y132" s="153" t="e">
        <f>+VLOOKUP($M132,Data_Validation!$A:$F,6,0)</f>
        <v>#N/A</v>
      </c>
    </row>
    <row r="133" spans="2:25" ht="15" customHeight="1">
      <c r="B133" s="1398"/>
      <c r="C133" s="1401"/>
      <c r="D133" s="1400"/>
      <c r="E133" s="1400"/>
      <c r="F133" s="1400"/>
      <c r="G133" s="1398"/>
      <c r="H133" s="1398"/>
      <c r="I133" s="1198"/>
      <c r="J133" s="1199"/>
      <c r="K133" s="1199"/>
      <c r="L133" s="1199"/>
      <c r="M133" s="150">
        <f t="shared" si="10"/>
        <v>0</v>
      </c>
      <c r="N133" s="151">
        <f t="shared" si="11"/>
        <v>0</v>
      </c>
      <c r="O133" s="152">
        <f>+IF(OR($R133=Parametres!$G$2,$R133=Parametres!$G$3),J133,D133)</f>
        <v>0</v>
      </c>
      <c r="P133" s="1085">
        <f>+IF(OR($R133=Parametres!$G$2,$R133=Parametres!$G$3),K133,E133)</f>
        <v>0</v>
      </c>
      <c r="Q133" s="152">
        <f>+IF(OR($R133=Parametres!$G$2,$R133=Parametres!$G$3),L133,F133)</f>
        <v>0</v>
      </c>
      <c r="R133" s="151">
        <f t="shared" si="12"/>
        <v>0</v>
      </c>
      <c r="S133" s="150">
        <f t="shared" si="13"/>
        <v>0</v>
      </c>
      <c r="T133" s="151">
        <f t="shared" si="14"/>
        <v>0</v>
      </c>
      <c r="U133" s="153" t="e">
        <f>+VLOOKUP($M133,Data_Validation!$A:$D,1,0)</f>
        <v>#N/A</v>
      </c>
      <c r="V133" s="153" t="e">
        <f>+VLOOKUP($M133,Data_Validation!$A:$D,3,0)</f>
        <v>#N/A</v>
      </c>
      <c r="W133" s="153" t="e">
        <f>+VLOOKUP($M133,Data_Validation!$A:$D,4,0)</f>
        <v>#N/A</v>
      </c>
      <c r="X133" s="153" t="e">
        <f>+VLOOKUP($M133,Data_Validation!$A:$E,5,0)</f>
        <v>#N/A</v>
      </c>
      <c r="Y133" s="153" t="e">
        <f>+VLOOKUP($M133,Data_Validation!$A:$F,6,0)</f>
        <v>#N/A</v>
      </c>
    </row>
    <row r="134" spans="2:25" ht="15" customHeight="1">
      <c r="B134" s="1398"/>
      <c r="C134" s="1401"/>
      <c r="D134" s="1400"/>
      <c r="E134" s="1400"/>
      <c r="F134" s="1400"/>
      <c r="G134" s="1398"/>
      <c r="H134" s="1398"/>
      <c r="I134" s="948"/>
      <c r="J134" s="951"/>
      <c r="K134" s="951"/>
      <c r="L134" s="951"/>
      <c r="M134" s="150">
        <f t="shared" si="10"/>
        <v>0</v>
      </c>
      <c r="N134" s="151">
        <f t="shared" si="11"/>
        <v>0</v>
      </c>
      <c r="O134" s="152">
        <f>+IF(OR($R134=Parametres!$G$2,$R134=Parametres!$G$3),J134,D134)</f>
        <v>0</v>
      </c>
      <c r="P134" s="1085">
        <f>+IF(OR($R134=Parametres!$G$2,$R134=Parametres!$G$3),K134,E134)</f>
        <v>0</v>
      </c>
      <c r="Q134" s="152">
        <f>+IF(OR($R134=Parametres!$G$2,$R134=Parametres!$G$3),L134,F134)</f>
        <v>0</v>
      </c>
      <c r="R134" s="151">
        <f t="shared" si="12"/>
        <v>0</v>
      </c>
      <c r="S134" s="150">
        <f t="shared" si="13"/>
        <v>0</v>
      </c>
      <c r="T134" s="151">
        <f t="shared" si="14"/>
        <v>0</v>
      </c>
      <c r="U134" s="153" t="e">
        <f>+VLOOKUP($M134,Data_Validation!$A:$D,1,0)</f>
        <v>#N/A</v>
      </c>
      <c r="V134" s="153" t="e">
        <f>+VLOOKUP($M134,Data_Validation!$A:$D,3,0)</f>
        <v>#N/A</v>
      </c>
      <c r="W134" s="153" t="e">
        <f>+VLOOKUP($M134,Data_Validation!$A:$D,4,0)</f>
        <v>#N/A</v>
      </c>
      <c r="X134" s="153" t="e">
        <f>+VLOOKUP($M134,Data_Validation!$A:$E,5,0)</f>
        <v>#N/A</v>
      </c>
      <c r="Y134" s="153" t="e">
        <f>+VLOOKUP($M134,Data_Validation!$A:$F,6,0)</f>
        <v>#N/A</v>
      </c>
    </row>
    <row r="135" spans="2:25" ht="15.75" customHeight="1">
      <c r="B135" s="1398"/>
      <c r="C135" s="1401"/>
      <c r="D135" s="1400"/>
      <c r="E135" s="1400"/>
      <c r="F135" s="1400"/>
      <c r="G135" s="1398"/>
      <c r="H135" s="1398"/>
      <c r="I135" s="928"/>
      <c r="J135" s="927"/>
      <c r="K135" s="927"/>
      <c r="L135" s="927"/>
      <c r="M135" s="150">
        <f t="shared" si="10"/>
        <v>0</v>
      </c>
      <c r="N135" s="151">
        <f t="shared" si="11"/>
        <v>0</v>
      </c>
      <c r="O135" s="152">
        <f>+IF(OR($R135=Parametres!$G$2,$R135=Parametres!$G$3),J135,D135)</f>
        <v>0</v>
      </c>
      <c r="P135" s="1085">
        <f>+IF(OR($R135=Parametres!$G$2,$R135=Parametres!$G$3),K135,E135)</f>
        <v>0</v>
      </c>
      <c r="Q135" s="152">
        <f>+IF(OR($R135=Parametres!$G$2,$R135=Parametres!$G$3),L135,F135)</f>
        <v>0</v>
      </c>
      <c r="R135" s="151">
        <f t="shared" si="12"/>
        <v>0</v>
      </c>
      <c r="S135" s="150">
        <f t="shared" si="13"/>
        <v>0</v>
      </c>
      <c r="T135" s="151">
        <f t="shared" si="14"/>
        <v>0</v>
      </c>
      <c r="U135" s="153" t="e">
        <f>+VLOOKUP($M135,Data_Validation!$A:$D,1,0)</f>
        <v>#N/A</v>
      </c>
      <c r="V135" s="153" t="e">
        <f>+VLOOKUP($M135,Data_Validation!$A:$D,3,0)</f>
        <v>#N/A</v>
      </c>
      <c r="W135" s="153" t="e">
        <f>+VLOOKUP($M135,Data_Validation!$A:$D,4,0)</f>
        <v>#N/A</v>
      </c>
      <c r="X135" s="153" t="e">
        <f>+VLOOKUP($M135,Data_Validation!$A:$E,5,0)</f>
        <v>#N/A</v>
      </c>
      <c r="Y135" s="153" t="e">
        <f>+VLOOKUP($M135,Data_Validation!$A:$F,6,0)</f>
        <v>#N/A</v>
      </c>
    </row>
    <row r="136" spans="2:25" ht="15" customHeight="1">
      <c r="B136" s="1398"/>
      <c r="C136" s="1401"/>
      <c r="D136" s="1400"/>
      <c r="E136" s="1400"/>
      <c r="F136" s="1400"/>
      <c r="G136" s="1398"/>
      <c r="H136" s="1398"/>
      <c r="I136" s="948"/>
      <c r="J136" s="949"/>
      <c r="K136" s="949"/>
      <c r="L136" s="949"/>
      <c r="M136" s="150">
        <f t="shared" si="10"/>
        <v>0</v>
      </c>
      <c r="N136" s="151">
        <f t="shared" si="11"/>
        <v>0</v>
      </c>
      <c r="O136" s="152">
        <f>+IF(OR($R136=Parametres!$G$2,$R136=Parametres!$G$3),J136,D136)</f>
        <v>0</v>
      </c>
      <c r="P136" s="1085">
        <f>+IF(OR($R136=Parametres!$G$2,$R136=Parametres!$G$3),K136,E136)</f>
        <v>0</v>
      </c>
      <c r="Q136" s="152">
        <f>+IF(OR($R136=Parametres!$G$2,$R136=Parametres!$G$3),L136,F136)</f>
        <v>0</v>
      </c>
      <c r="R136" s="151">
        <f t="shared" si="12"/>
        <v>0</v>
      </c>
      <c r="S136" s="150">
        <f t="shared" si="13"/>
        <v>0</v>
      </c>
      <c r="T136" s="151">
        <f t="shared" si="14"/>
        <v>0</v>
      </c>
      <c r="U136" s="153" t="e">
        <f>+VLOOKUP($M136,Data_Validation!$A:$D,1,0)</f>
        <v>#N/A</v>
      </c>
      <c r="V136" s="153" t="e">
        <f>+VLOOKUP($M136,Data_Validation!$A:$D,3,0)</f>
        <v>#N/A</v>
      </c>
      <c r="W136" s="153" t="e">
        <f>+VLOOKUP($M136,Data_Validation!$A:$D,4,0)</f>
        <v>#N/A</v>
      </c>
      <c r="X136" s="153" t="e">
        <f>+VLOOKUP($M136,Data_Validation!$A:$E,5,0)</f>
        <v>#N/A</v>
      </c>
      <c r="Y136" s="153" t="e">
        <f>+VLOOKUP($M136,Data_Validation!$A:$F,6,0)</f>
        <v>#N/A</v>
      </c>
    </row>
    <row r="137" spans="2:25" ht="15" customHeight="1">
      <c r="B137" s="1398"/>
      <c r="C137" s="1401"/>
      <c r="D137" s="1400"/>
      <c r="E137" s="1400"/>
      <c r="F137" s="1400"/>
      <c r="G137" s="1398"/>
      <c r="H137" s="1398"/>
      <c r="I137" s="948"/>
      <c r="J137" s="951"/>
      <c r="K137" s="951"/>
      <c r="L137" s="951"/>
      <c r="M137" s="150">
        <f t="shared" si="10"/>
        <v>0</v>
      </c>
      <c r="N137" s="151">
        <f t="shared" si="11"/>
        <v>0</v>
      </c>
      <c r="O137" s="152">
        <f>+IF(OR($R137=Parametres!$G$2,$R137=Parametres!$G$3),J137,D137)</f>
        <v>0</v>
      </c>
      <c r="P137" s="1085">
        <f>+IF(OR($R137=Parametres!$G$2,$R137=Parametres!$G$3),K137,E137)</f>
        <v>0</v>
      </c>
      <c r="Q137" s="152">
        <f>+IF(OR($R137=Parametres!$G$2,$R137=Parametres!$G$3),L137,F137)</f>
        <v>0</v>
      </c>
      <c r="R137" s="151">
        <f t="shared" si="12"/>
        <v>0</v>
      </c>
      <c r="S137" s="150">
        <f t="shared" si="13"/>
        <v>0</v>
      </c>
      <c r="T137" s="151">
        <f t="shared" si="14"/>
        <v>0</v>
      </c>
      <c r="U137" s="153" t="e">
        <f>+VLOOKUP($M137,Data_Validation!$A:$D,1,0)</f>
        <v>#N/A</v>
      </c>
      <c r="V137" s="153" t="e">
        <f>+VLOOKUP($M137,Data_Validation!$A:$D,3,0)</f>
        <v>#N/A</v>
      </c>
      <c r="W137" s="153" t="e">
        <f>+VLOOKUP($M137,Data_Validation!$A:$D,4,0)</f>
        <v>#N/A</v>
      </c>
      <c r="X137" s="153" t="e">
        <f>+VLOOKUP($M137,Data_Validation!$A:$E,5,0)</f>
        <v>#N/A</v>
      </c>
      <c r="Y137" s="153" t="e">
        <f>+VLOOKUP($M137,Data_Validation!$A:$F,6,0)</f>
        <v>#N/A</v>
      </c>
    </row>
    <row r="138" spans="2:25" ht="15" customHeight="1">
      <c r="B138" s="1398"/>
      <c r="C138" s="1401"/>
      <c r="D138" s="1400"/>
      <c r="E138" s="1400"/>
      <c r="F138" s="1400"/>
      <c r="G138" s="1398"/>
      <c r="H138" s="1398"/>
      <c r="I138" s="948"/>
      <c r="J138" s="951"/>
      <c r="K138" s="951"/>
      <c r="L138" s="951"/>
      <c r="M138" s="150">
        <f t="shared" si="10"/>
        <v>0</v>
      </c>
      <c r="N138" s="151">
        <f t="shared" si="11"/>
        <v>0</v>
      </c>
      <c r="O138" s="152">
        <f>+IF(OR($R138=Parametres!$G$2,$R138=Parametres!$G$3),J138,D138)</f>
        <v>0</v>
      </c>
      <c r="P138" s="1085">
        <f>+IF(OR($R138=Parametres!$G$2,$R138=Parametres!$G$3),K138,E138)</f>
        <v>0</v>
      </c>
      <c r="Q138" s="152">
        <f>+IF(OR($R138=Parametres!$G$2,$R138=Parametres!$G$3),L138,F138)</f>
        <v>0</v>
      </c>
      <c r="R138" s="151">
        <f t="shared" si="12"/>
        <v>0</v>
      </c>
      <c r="S138" s="150">
        <f t="shared" si="13"/>
        <v>0</v>
      </c>
      <c r="T138" s="151">
        <f t="shared" si="14"/>
        <v>0</v>
      </c>
      <c r="U138" s="153" t="e">
        <f>+VLOOKUP($M138,Data_Validation!$A:$D,1,0)</f>
        <v>#N/A</v>
      </c>
      <c r="V138" s="153" t="e">
        <f>+VLOOKUP($M138,Data_Validation!$A:$D,3,0)</f>
        <v>#N/A</v>
      </c>
      <c r="W138" s="153" t="e">
        <f>+VLOOKUP($M138,Data_Validation!$A:$D,4,0)</f>
        <v>#N/A</v>
      </c>
      <c r="X138" s="153" t="e">
        <f>+VLOOKUP($M138,Data_Validation!$A:$E,5,0)</f>
        <v>#N/A</v>
      </c>
      <c r="Y138" s="153" t="e">
        <f>+VLOOKUP($M138,Data_Validation!$A:$F,6,0)</f>
        <v>#N/A</v>
      </c>
    </row>
    <row r="139" spans="2:25" ht="15.75" customHeight="1">
      <c r="B139" s="1398"/>
      <c r="C139" s="1401"/>
      <c r="D139" s="1400"/>
      <c r="E139" s="1400"/>
      <c r="F139" s="1400"/>
      <c r="G139" s="1398"/>
      <c r="H139" s="1398"/>
      <c r="I139" s="948"/>
      <c r="J139" s="951"/>
      <c r="K139" s="951"/>
      <c r="L139" s="951"/>
      <c r="M139" s="150">
        <f t="shared" si="10"/>
        <v>0</v>
      </c>
      <c r="N139" s="151">
        <f t="shared" si="11"/>
        <v>0</v>
      </c>
      <c r="O139" s="152">
        <f>+IF(OR($R139=Parametres!$G$2,$R139=Parametres!$G$3),J139,D139)</f>
        <v>0</v>
      </c>
      <c r="P139" s="1085">
        <f>+IF(OR($R139=Parametres!$G$2,$R139=Parametres!$G$3),K139,E139)</f>
        <v>0</v>
      </c>
      <c r="Q139" s="152">
        <f>+IF(OR($R139=Parametres!$G$2,$R139=Parametres!$G$3),L139,F139)</f>
        <v>0</v>
      </c>
      <c r="R139" s="151">
        <f t="shared" si="12"/>
        <v>0</v>
      </c>
      <c r="S139" s="150">
        <f t="shared" si="13"/>
        <v>0</v>
      </c>
      <c r="T139" s="151">
        <f t="shared" si="14"/>
        <v>0</v>
      </c>
      <c r="U139" s="153" t="e">
        <f>+VLOOKUP($M139,Data_Validation!$A:$D,1,0)</f>
        <v>#N/A</v>
      </c>
      <c r="V139" s="153" t="e">
        <f>+VLOOKUP($M139,Data_Validation!$A:$D,3,0)</f>
        <v>#N/A</v>
      </c>
      <c r="W139" s="153" t="e">
        <f>+VLOOKUP($M139,Data_Validation!$A:$D,4,0)</f>
        <v>#N/A</v>
      </c>
      <c r="X139" s="153" t="e">
        <f>+VLOOKUP($M139,Data_Validation!$A:$E,5,0)</f>
        <v>#N/A</v>
      </c>
      <c r="Y139" s="153" t="e">
        <f>+VLOOKUP($M139,Data_Validation!$A:$F,6,0)</f>
        <v>#N/A</v>
      </c>
    </row>
    <row r="140" spans="2:25" ht="15" customHeight="1">
      <c r="B140" s="1398"/>
      <c r="C140" s="1401"/>
      <c r="D140" s="1400"/>
      <c r="E140" s="1400"/>
      <c r="F140" s="1400"/>
      <c r="G140" s="1398"/>
      <c r="H140" s="1398"/>
      <c r="I140" s="928"/>
      <c r="J140" s="927"/>
      <c r="K140" s="927"/>
      <c r="L140" s="927"/>
      <c r="M140" s="150">
        <f t="shared" si="10"/>
        <v>0</v>
      </c>
      <c r="N140" s="151">
        <f t="shared" si="11"/>
        <v>0</v>
      </c>
      <c r="O140" s="152">
        <f>+IF(OR($R140=Parametres!$G$2,$R140=Parametres!$G$3),J140,D140)</f>
        <v>0</v>
      </c>
      <c r="P140" s="1085">
        <f>+IF(OR($R140=Parametres!$G$2,$R140=Parametres!$G$3),K140,E140)</f>
        <v>0</v>
      </c>
      <c r="Q140" s="152">
        <f>+IF(OR($R140=Parametres!$G$2,$R140=Parametres!$G$3),L140,F140)</f>
        <v>0</v>
      </c>
      <c r="R140" s="151">
        <f t="shared" si="12"/>
        <v>0</v>
      </c>
      <c r="S140" s="150">
        <f t="shared" si="13"/>
        <v>0</v>
      </c>
      <c r="T140" s="151">
        <f t="shared" si="14"/>
        <v>0</v>
      </c>
      <c r="U140" s="153" t="e">
        <f>+VLOOKUP($M140,Data_Validation!$A:$D,1,0)</f>
        <v>#N/A</v>
      </c>
      <c r="V140" s="153" t="e">
        <f>+VLOOKUP($M140,Data_Validation!$A:$D,3,0)</f>
        <v>#N/A</v>
      </c>
      <c r="W140" s="153" t="e">
        <f>+VLOOKUP($M140,Data_Validation!$A:$D,4,0)</f>
        <v>#N/A</v>
      </c>
      <c r="X140" s="153" t="e">
        <f>+VLOOKUP($M140,Data_Validation!$A:$E,5,0)</f>
        <v>#N/A</v>
      </c>
      <c r="Y140" s="153" t="e">
        <f>+VLOOKUP($M140,Data_Validation!$A:$F,6,0)</f>
        <v>#N/A</v>
      </c>
    </row>
    <row r="141" spans="2:25" ht="15" customHeight="1">
      <c r="B141" s="1398"/>
      <c r="C141" s="1401"/>
      <c r="D141" s="1400"/>
      <c r="E141" s="1400"/>
      <c r="F141" s="1400"/>
      <c r="G141" s="1398"/>
      <c r="H141" s="1398"/>
      <c r="I141" s="948"/>
      <c r="J141" s="951"/>
      <c r="K141" s="951"/>
      <c r="L141" s="951"/>
      <c r="M141" s="150">
        <f t="shared" si="10"/>
        <v>0</v>
      </c>
      <c r="N141" s="151">
        <f t="shared" si="11"/>
        <v>0</v>
      </c>
      <c r="O141" s="152">
        <f>+IF(OR($R141=Parametres!$G$2,$R141=Parametres!$G$3),J141,D141)</f>
        <v>0</v>
      </c>
      <c r="P141" s="1085">
        <f>+IF(OR($R141=Parametres!$G$2,$R141=Parametres!$G$3),K141,E141)</f>
        <v>0</v>
      </c>
      <c r="Q141" s="152">
        <f>+IF(OR($R141=Parametres!$G$2,$R141=Parametres!$G$3),L141,F141)</f>
        <v>0</v>
      </c>
      <c r="R141" s="151">
        <f t="shared" si="12"/>
        <v>0</v>
      </c>
      <c r="S141" s="150">
        <f t="shared" si="13"/>
        <v>0</v>
      </c>
      <c r="T141" s="151">
        <f t="shared" si="14"/>
        <v>0</v>
      </c>
      <c r="U141" s="153" t="e">
        <f>+VLOOKUP($M141,Data_Validation!$A:$D,1,0)</f>
        <v>#N/A</v>
      </c>
      <c r="V141" s="153" t="e">
        <f>+VLOOKUP($M141,Data_Validation!$A:$D,3,0)</f>
        <v>#N/A</v>
      </c>
      <c r="W141" s="153" t="e">
        <f>+VLOOKUP($M141,Data_Validation!$A:$D,4,0)</f>
        <v>#N/A</v>
      </c>
      <c r="X141" s="153" t="e">
        <f>+VLOOKUP($M141,Data_Validation!$A:$E,5,0)</f>
        <v>#N/A</v>
      </c>
      <c r="Y141" s="153" t="e">
        <f>+VLOOKUP($M141,Data_Validation!$A:$F,6,0)</f>
        <v>#N/A</v>
      </c>
    </row>
    <row r="142" spans="2:25" ht="15" customHeight="1">
      <c r="B142" s="1398"/>
      <c r="C142" s="1401"/>
      <c r="D142" s="1400"/>
      <c r="E142" s="1400"/>
      <c r="F142" s="1400"/>
      <c r="G142" s="1398"/>
      <c r="H142" s="1398"/>
      <c r="I142" s="948"/>
      <c r="J142" s="951"/>
      <c r="K142" s="951"/>
      <c r="L142" s="951"/>
      <c r="M142" s="150">
        <f t="shared" si="10"/>
        <v>0</v>
      </c>
      <c r="N142" s="151">
        <f t="shared" si="11"/>
        <v>0</v>
      </c>
      <c r="O142" s="152">
        <f>+IF(OR($R142=Parametres!$G$2,$R142=Parametres!$G$3),J142,D142)</f>
        <v>0</v>
      </c>
      <c r="P142" s="1085">
        <f>+IF(OR($R142=Parametres!$G$2,$R142=Parametres!$G$3),K142,E142)</f>
        <v>0</v>
      </c>
      <c r="Q142" s="152">
        <f>+IF(OR($R142=Parametres!$G$2,$R142=Parametres!$G$3),L142,F142)</f>
        <v>0</v>
      </c>
      <c r="R142" s="151">
        <f t="shared" si="12"/>
        <v>0</v>
      </c>
      <c r="S142" s="150">
        <f t="shared" si="13"/>
        <v>0</v>
      </c>
      <c r="T142" s="151">
        <f t="shared" si="14"/>
        <v>0</v>
      </c>
      <c r="U142" s="153" t="e">
        <f>+VLOOKUP($M142,Data_Validation!$A:$D,1,0)</f>
        <v>#N/A</v>
      </c>
      <c r="V142" s="153" t="e">
        <f>+VLOOKUP($M142,Data_Validation!$A:$D,3,0)</f>
        <v>#N/A</v>
      </c>
      <c r="W142" s="153" t="e">
        <f>+VLOOKUP($M142,Data_Validation!$A:$D,4,0)</f>
        <v>#N/A</v>
      </c>
      <c r="X142" s="153" t="e">
        <f>+VLOOKUP($M142,Data_Validation!$A:$E,5,0)</f>
        <v>#N/A</v>
      </c>
      <c r="Y142" s="153" t="e">
        <f>+VLOOKUP($M142,Data_Validation!$A:$F,6,0)</f>
        <v>#N/A</v>
      </c>
    </row>
    <row r="143" spans="2:25" ht="15.75" customHeight="1">
      <c r="B143" s="1398"/>
      <c r="C143" s="1401"/>
      <c r="D143" s="1400"/>
      <c r="E143" s="1400"/>
      <c r="F143" s="1400"/>
      <c r="G143" s="1398"/>
      <c r="H143" s="1398"/>
      <c r="I143" s="948"/>
      <c r="J143" s="949"/>
      <c r="K143" s="949"/>
      <c r="L143" s="949"/>
      <c r="M143" s="150">
        <f t="shared" si="10"/>
        <v>0</v>
      </c>
      <c r="N143" s="151">
        <f t="shared" si="11"/>
        <v>0</v>
      </c>
      <c r="O143" s="152">
        <f>+IF(OR($R143=Parametres!$G$2,$R143=Parametres!$G$3),J143,D143)</f>
        <v>0</v>
      </c>
      <c r="P143" s="1085">
        <f>+IF(OR($R143=Parametres!$G$2,$R143=Parametres!$G$3),K143,E143)</f>
        <v>0</v>
      </c>
      <c r="Q143" s="152">
        <f>+IF(OR($R143=Parametres!$G$2,$R143=Parametres!$G$3),L143,F143)</f>
        <v>0</v>
      </c>
      <c r="R143" s="151">
        <f t="shared" si="12"/>
        <v>0</v>
      </c>
      <c r="S143" s="150">
        <f t="shared" si="13"/>
        <v>0</v>
      </c>
      <c r="T143" s="151">
        <f t="shared" si="14"/>
        <v>0</v>
      </c>
      <c r="U143" s="153" t="e">
        <f>+VLOOKUP($M143,Data_Validation!$A:$D,1,0)</f>
        <v>#N/A</v>
      </c>
      <c r="V143" s="153" t="e">
        <f>+VLOOKUP($M143,Data_Validation!$A:$D,3,0)</f>
        <v>#N/A</v>
      </c>
      <c r="W143" s="153" t="e">
        <f>+VLOOKUP($M143,Data_Validation!$A:$D,4,0)</f>
        <v>#N/A</v>
      </c>
      <c r="X143" s="153" t="e">
        <f>+VLOOKUP($M143,Data_Validation!$A:$E,5,0)</f>
        <v>#N/A</v>
      </c>
      <c r="Y143" s="153" t="e">
        <f>+VLOOKUP($M143,Data_Validation!$A:$F,6,0)</f>
        <v>#N/A</v>
      </c>
    </row>
    <row r="144" spans="2:25" ht="15" customHeight="1">
      <c r="B144" s="1398"/>
      <c r="C144" s="1401"/>
      <c r="D144" s="1400"/>
      <c r="E144" s="1400"/>
      <c r="F144" s="1400"/>
      <c r="G144" s="1398"/>
      <c r="H144" s="1398"/>
      <c r="I144" s="948"/>
      <c r="J144" s="949"/>
      <c r="K144" s="949"/>
      <c r="L144" s="949"/>
      <c r="M144" s="150">
        <f t="shared" si="10"/>
        <v>0</v>
      </c>
      <c r="N144" s="151">
        <f t="shared" si="11"/>
        <v>0</v>
      </c>
      <c r="O144" s="152">
        <f>+IF(OR($R144=Parametres!$G$2,$R144=Parametres!$G$3),J144,D144)</f>
        <v>0</v>
      </c>
      <c r="P144" s="1085">
        <f>+IF(OR($R144=Parametres!$G$2,$R144=Parametres!$G$3),K144,E144)</f>
        <v>0</v>
      </c>
      <c r="Q144" s="152">
        <f>+IF(OR($R144=Parametres!$G$2,$R144=Parametres!$G$3),L144,F144)</f>
        <v>0</v>
      </c>
      <c r="R144" s="151">
        <f t="shared" si="12"/>
        <v>0</v>
      </c>
      <c r="S144" s="150">
        <f t="shared" si="13"/>
        <v>0</v>
      </c>
      <c r="T144" s="151">
        <f t="shared" si="14"/>
        <v>0</v>
      </c>
      <c r="U144" s="153" t="e">
        <f>+VLOOKUP($M144,Data_Validation!$A:$D,1,0)</f>
        <v>#N/A</v>
      </c>
      <c r="V144" s="153" t="e">
        <f>+VLOOKUP($M144,Data_Validation!$A:$D,3,0)</f>
        <v>#N/A</v>
      </c>
      <c r="W144" s="153" t="e">
        <f>+VLOOKUP($M144,Data_Validation!$A:$D,4,0)</f>
        <v>#N/A</v>
      </c>
      <c r="X144" s="153" t="e">
        <f>+VLOOKUP($M144,Data_Validation!$A:$E,5,0)</f>
        <v>#N/A</v>
      </c>
      <c r="Y144" s="153" t="e">
        <f>+VLOOKUP($M144,Data_Validation!$A:$F,6,0)</f>
        <v>#N/A</v>
      </c>
    </row>
    <row r="145" spans="2:25" ht="15" customHeight="1">
      <c r="B145" s="1398"/>
      <c r="C145" s="1401"/>
      <c r="D145" s="1400"/>
      <c r="E145" s="1400"/>
      <c r="F145" s="1400"/>
      <c r="G145" s="1398"/>
      <c r="H145" s="1398"/>
      <c r="I145" s="989"/>
      <c r="J145" s="990"/>
      <c r="K145" s="990"/>
      <c r="L145" s="990"/>
      <c r="M145" s="150">
        <f t="shared" si="10"/>
        <v>0</v>
      </c>
      <c r="N145" s="151">
        <f t="shared" si="11"/>
        <v>0</v>
      </c>
      <c r="O145" s="152">
        <f>+IF(OR($R145=Parametres!$G$2,$R145=Parametres!$G$3),J145,D145)</f>
        <v>0</v>
      </c>
      <c r="P145" s="1085">
        <f>+IF(OR($R145=Parametres!$G$2,$R145=Parametres!$G$3),K145,E145)</f>
        <v>0</v>
      </c>
      <c r="Q145" s="152">
        <f>+IF(OR($R145=Parametres!$G$2,$R145=Parametres!$G$3),L145,F145)</f>
        <v>0</v>
      </c>
      <c r="R145" s="151">
        <f t="shared" si="12"/>
        <v>0</v>
      </c>
      <c r="S145" s="150">
        <f t="shared" si="13"/>
        <v>0</v>
      </c>
      <c r="T145" s="151">
        <f t="shared" si="14"/>
        <v>0</v>
      </c>
      <c r="U145" s="153" t="e">
        <f>+VLOOKUP($M145,Data_Validation!$A:$D,1,0)</f>
        <v>#N/A</v>
      </c>
      <c r="V145" s="153" t="e">
        <f>+VLOOKUP($M145,Data_Validation!$A:$D,3,0)</f>
        <v>#N/A</v>
      </c>
      <c r="W145" s="153" t="e">
        <f>+VLOOKUP($M145,Data_Validation!$A:$D,4,0)</f>
        <v>#N/A</v>
      </c>
      <c r="X145" s="153" t="e">
        <f>+VLOOKUP($M145,Data_Validation!$A:$E,5,0)</f>
        <v>#N/A</v>
      </c>
      <c r="Y145" s="153" t="e">
        <f>+VLOOKUP($M145,Data_Validation!$A:$F,6,0)</f>
        <v>#N/A</v>
      </c>
    </row>
    <row r="146" spans="2:25" ht="15" customHeight="1">
      <c r="B146" s="1398"/>
      <c r="C146" s="1401"/>
      <c r="D146" s="1400"/>
      <c r="E146" s="1400"/>
      <c r="F146" s="1400"/>
      <c r="G146" s="1398"/>
      <c r="H146" s="1398"/>
      <c r="I146" s="948"/>
      <c r="J146" s="951"/>
      <c r="K146" s="951"/>
      <c r="L146" s="951"/>
      <c r="M146" s="150">
        <f t="shared" si="10"/>
        <v>0</v>
      </c>
      <c r="N146" s="151">
        <f t="shared" si="11"/>
        <v>0</v>
      </c>
      <c r="O146" s="152">
        <f>+IF(OR($R146=Parametres!$G$2,$R146=Parametres!$G$3),J146,D146)</f>
        <v>0</v>
      </c>
      <c r="P146" s="1085">
        <f>+IF(OR($R146=Parametres!$G$2,$R146=Parametres!$G$3),K146,E146)</f>
        <v>0</v>
      </c>
      <c r="Q146" s="152">
        <f>+IF(OR($R146=Parametres!$G$2,$R146=Parametres!$G$3),L146,F146)</f>
        <v>0</v>
      </c>
      <c r="R146" s="151">
        <f t="shared" si="12"/>
        <v>0</v>
      </c>
      <c r="S146" s="150">
        <f t="shared" si="13"/>
        <v>0</v>
      </c>
      <c r="T146" s="151">
        <f t="shared" si="14"/>
        <v>0</v>
      </c>
      <c r="U146" s="153" t="e">
        <f>+VLOOKUP($M146,Data_Validation!$A:$D,1,0)</f>
        <v>#N/A</v>
      </c>
      <c r="V146" s="153" t="e">
        <f>+VLOOKUP($M146,Data_Validation!$A:$D,3,0)</f>
        <v>#N/A</v>
      </c>
      <c r="W146" s="153" t="e">
        <f>+VLOOKUP($M146,Data_Validation!$A:$D,4,0)</f>
        <v>#N/A</v>
      </c>
      <c r="X146" s="153" t="e">
        <f>+VLOOKUP($M146,Data_Validation!$A:$E,5,0)</f>
        <v>#N/A</v>
      </c>
      <c r="Y146" s="153" t="e">
        <f>+VLOOKUP($M146,Data_Validation!$A:$F,6,0)</f>
        <v>#N/A</v>
      </c>
    </row>
    <row r="147" spans="2:25" ht="15" customHeight="1">
      <c r="B147" s="1398"/>
      <c r="C147" s="1401"/>
      <c r="D147" s="1400"/>
      <c r="E147" s="1400"/>
      <c r="F147" s="1400"/>
      <c r="G147" s="1398"/>
      <c r="H147" s="1398"/>
      <c r="I147" s="948"/>
      <c r="J147" s="949"/>
      <c r="K147" s="949"/>
      <c r="L147" s="949"/>
      <c r="M147" s="150">
        <f t="shared" si="10"/>
        <v>0</v>
      </c>
      <c r="N147" s="151">
        <f t="shared" si="11"/>
        <v>0</v>
      </c>
      <c r="O147" s="152">
        <f>+IF(OR($R147=Parametres!$G$2,$R147=Parametres!$G$3),J147,D147)</f>
        <v>0</v>
      </c>
      <c r="P147" s="1085">
        <f>+IF(OR($R147=Parametres!$G$2,$R147=Parametres!$G$3),K147,E147)</f>
        <v>0</v>
      </c>
      <c r="Q147" s="152">
        <f>+IF(OR($R147=Parametres!$G$2,$R147=Parametres!$G$3),L147,F147)</f>
        <v>0</v>
      </c>
      <c r="R147" s="151">
        <f t="shared" si="12"/>
        <v>0</v>
      </c>
      <c r="S147" s="150">
        <f t="shared" si="13"/>
        <v>0</v>
      </c>
      <c r="T147" s="151">
        <f t="shared" si="14"/>
        <v>0</v>
      </c>
      <c r="U147" s="153" t="e">
        <f>+VLOOKUP($M147,Data_Validation!$A:$D,1,0)</f>
        <v>#N/A</v>
      </c>
      <c r="V147" s="153" t="e">
        <f>+VLOOKUP($M147,Data_Validation!$A:$D,3,0)</f>
        <v>#N/A</v>
      </c>
      <c r="W147" s="153" t="e">
        <f>+VLOOKUP($M147,Data_Validation!$A:$D,4,0)</f>
        <v>#N/A</v>
      </c>
      <c r="X147" s="153" t="e">
        <f>+VLOOKUP($M147,Data_Validation!$A:$E,5,0)</f>
        <v>#N/A</v>
      </c>
      <c r="Y147" s="153" t="e">
        <f>+VLOOKUP($M147,Data_Validation!$A:$F,6,0)</f>
        <v>#N/A</v>
      </c>
    </row>
    <row r="148" spans="2:25" ht="15" customHeight="1">
      <c r="B148" s="1398"/>
      <c r="C148" s="1401"/>
      <c r="D148" s="1400"/>
      <c r="E148" s="1400"/>
      <c r="F148" s="1400"/>
      <c r="G148" s="1398"/>
      <c r="H148" s="1398"/>
      <c r="I148" s="948"/>
      <c r="J148" s="951"/>
      <c r="K148" s="951"/>
      <c r="L148" s="951"/>
      <c r="M148" s="150">
        <f t="shared" si="10"/>
        <v>0</v>
      </c>
      <c r="N148" s="151">
        <f t="shared" si="11"/>
        <v>0</v>
      </c>
      <c r="O148" s="152">
        <f>+IF(OR($R148=Parametres!$G$2,$R148=Parametres!$G$3),J148,D148)</f>
        <v>0</v>
      </c>
      <c r="P148" s="1085">
        <f>+IF(OR($R148=Parametres!$G$2,$R148=Parametres!$G$3),K148,E148)</f>
        <v>0</v>
      </c>
      <c r="Q148" s="152">
        <f>+IF(OR($R148=Parametres!$G$2,$R148=Parametres!$G$3),L148,F148)</f>
        <v>0</v>
      </c>
      <c r="R148" s="151">
        <f t="shared" si="12"/>
        <v>0</v>
      </c>
      <c r="S148" s="150">
        <f t="shared" si="13"/>
        <v>0</v>
      </c>
      <c r="T148" s="151">
        <f t="shared" si="14"/>
        <v>0</v>
      </c>
      <c r="U148" s="153" t="e">
        <f>+VLOOKUP($M148,Data_Validation!$A:$D,1,0)</f>
        <v>#N/A</v>
      </c>
      <c r="V148" s="153" t="e">
        <f>+VLOOKUP($M148,Data_Validation!$A:$D,3,0)</f>
        <v>#N/A</v>
      </c>
      <c r="W148" s="153" t="e">
        <f>+VLOOKUP($M148,Data_Validation!$A:$D,4,0)</f>
        <v>#N/A</v>
      </c>
      <c r="X148" s="153" t="e">
        <f>+VLOOKUP($M148,Data_Validation!$A:$E,5,0)</f>
        <v>#N/A</v>
      </c>
      <c r="Y148" s="153" t="e">
        <f>+VLOOKUP($M148,Data_Validation!$A:$F,6,0)</f>
        <v>#N/A</v>
      </c>
    </row>
    <row r="149" spans="2:25" ht="15" customHeight="1">
      <c r="B149" s="1398"/>
      <c r="C149" s="1401"/>
      <c r="D149" s="1400"/>
      <c r="E149" s="1400"/>
      <c r="F149" s="1400"/>
      <c r="G149" s="1398"/>
      <c r="H149" s="1398"/>
      <c r="I149" s="948"/>
      <c r="J149" s="949"/>
      <c r="K149" s="949"/>
      <c r="L149" s="949"/>
      <c r="M149" s="150">
        <f t="shared" si="10"/>
        <v>0</v>
      </c>
      <c r="N149" s="151">
        <f t="shared" si="11"/>
        <v>0</v>
      </c>
      <c r="O149" s="152">
        <f>+IF(OR($R149=Parametres!$G$2,$R149=Parametres!$G$3),J149,D149)</f>
        <v>0</v>
      </c>
      <c r="P149" s="1085">
        <f>+IF(OR($R149=Parametres!$G$2,$R149=Parametres!$G$3),K149,E149)</f>
        <v>0</v>
      </c>
      <c r="Q149" s="152">
        <f>+IF(OR($R149=Parametres!$G$2,$R149=Parametres!$G$3),L149,F149)</f>
        <v>0</v>
      </c>
      <c r="R149" s="151">
        <f t="shared" si="12"/>
        <v>0</v>
      </c>
      <c r="S149" s="150">
        <f t="shared" si="13"/>
        <v>0</v>
      </c>
      <c r="T149" s="151">
        <f t="shared" si="14"/>
        <v>0</v>
      </c>
      <c r="U149" s="153" t="e">
        <f>+VLOOKUP($M149,Data_Validation!$A:$D,1,0)</f>
        <v>#N/A</v>
      </c>
      <c r="V149" s="153" t="e">
        <f>+VLOOKUP($M149,Data_Validation!$A:$D,3,0)</f>
        <v>#N/A</v>
      </c>
      <c r="W149" s="153" t="e">
        <f>+VLOOKUP($M149,Data_Validation!$A:$D,4,0)</f>
        <v>#N/A</v>
      </c>
      <c r="X149" s="153" t="e">
        <f>+VLOOKUP($M149,Data_Validation!$A:$E,5,0)</f>
        <v>#N/A</v>
      </c>
      <c r="Y149" s="153" t="e">
        <f>+VLOOKUP($M149,Data_Validation!$A:$F,6,0)</f>
        <v>#N/A</v>
      </c>
    </row>
    <row r="150" spans="2:25" ht="15" customHeight="1">
      <c r="B150" s="1398"/>
      <c r="C150" s="1401"/>
      <c r="D150" s="1400"/>
      <c r="E150" s="1400"/>
      <c r="F150" s="1400"/>
      <c r="G150" s="1398"/>
      <c r="H150" s="1398"/>
      <c r="I150" s="948"/>
      <c r="J150" s="951"/>
      <c r="K150" s="951"/>
      <c r="L150" s="951"/>
      <c r="M150" s="150">
        <f t="shared" si="10"/>
        <v>0</v>
      </c>
      <c r="N150" s="151">
        <f t="shared" si="11"/>
        <v>0</v>
      </c>
      <c r="O150" s="152">
        <f>+IF(OR($R150=Parametres!$G$2,$R150=Parametres!$G$3),J150,D150)</f>
        <v>0</v>
      </c>
      <c r="P150" s="1085">
        <f>+IF(OR($R150=Parametres!$G$2,$R150=Parametres!$G$3),K150,E150)</f>
        <v>0</v>
      </c>
      <c r="Q150" s="152">
        <f>+IF(OR($R150=Parametres!$G$2,$R150=Parametres!$G$3),L150,F150)</f>
        <v>0</v>
      </c>
      <c r="R150" s="151">
        <f t="shared" si="12"/>
        <v>0</v>
      </c>
      <c r="S150" s="150">
        <f t="shared" si="13"/>
        <v>0</v>
      </c>
      <c r="T150" s="151">
        <f t="shared" si="14"/>
        <v>0</v>
      </c>
      <c r="U150" s="153" t="e">
        <f>+VLOOKUP($M150,Data_Validation!$A:$D,1,0)</f>
        <v>#N/A</v>
      </c>
      <c r="V150" s="153" t="e">
        <f>+VLOOKUP($M150,Data_Validation!$A:$D,3,0)</f>
        <v>#N/A</v>
      </c>
      <c r="W150" s="153" t="e">
        <f>+VLOOKUP($M150,Data_Validation!$A:$D,4,0)</f>
        <v>#N/A</v>
      </c>
      <c r="X150" s="153" t="e">
        <f>+VLOOKUP($M150,Data_Validation!$A:$E,5,0)</f>
        <v>#N/A</v>
      </c>
      <c r="Y150" s="153" t="e">
        <f>+VLOOKUP($M150,Data_Validation!$A:$F,6,0)</f>
        <v>#N/A</v>
      </c>
    </row>
    <row r="151" spans="2:25" ht="15.75" customHeight="1">
      <c r="B151" s="1398"/>
      <c r="C151" s="1401"/>
      <c r="D151" s="1400"/>
      <c r="E151" s="1400"/>
      <c r="F151" s="1400"/>
      <c r="G151" s="1398"/>
      <c r="H151" s="1398"/>
      <c r="I151" s="948"/>
      <c r="J151" s="951"/>
      <c r="K151" s="951"/>
      <c r="L151" s="951"/>
      <c r="M151" s="150">
        <f t="shared" si="10"/>
        <v>0</v>
      </c>
      <c r="N151" s="151">
        <f t="shared" si="11"/>
        <v>0</v>
      </c>
      <c r="O151" s="152">
        <f>+IF(OR($R151=Parametres!$G$2,$R151=Parametres!$G$3),J151,D151)</f>
        <v>0</v>
      </c>
      <c r="P151" s="1085">
        <f>+IF(OR($R151=Parametres!$G$2,$R151=Parametres!$G$3),K151,E151)</f>
        <v>0</v>
      </c>
      <c r="Q151" s="152">
        <f>+IF(OR($R151=Parametres!$G$2,$R151=Parametres!$G$3),L151,F151)</f>
        <v>0</v>
      </c>
      <c r="R151" s="151">
        <f t="shared" si="12"/>
        <v>0</v>
      </c>
      <c r="S151" s="150">
        <f t="shared" si="13"/>
        <v>0</v>
      </c>
      <c r="T151" s="151">
        <f t="shared" si="14"/>
        <v>0</v>
      </c>
      <c r="U151" s="153" t="e">
        <f>+VLOOKUP($M151,Data_Validation!$A:$D,1,0)</f>
        <v>#N/A</v>
      </c>
      <c r="V151" s="153" t="e">
        <f>+VLOOKUP($M151,Data_Validation!$A:$D,3,0)</f>
        <v>#N/A</v>
      </c>
      <c r="W151" s="153" t="e">
        <f>+VLOOKUP($M151,Data_Validation!$A:$D,4,0)</f>
        <v>#N/A</v>
      </c>
      <c r="X151" s="153" t="e">
        <f>+VLOOKUP($M151,Data_Validation!$A:$E,5,0)</f>
        <v>#N/A</v>
      </c>
      <c r="Y151" s="153" t="e">
        <f>+VLOOKUP($M151,Data_Validation!$A:$F,6,0)</f>
        <v>#N/A</v>
      </c>
    </row>
    <row r="152" spans="2:25" ht="15" customHeight="1">
      <c r="B152" s="1398"/>
      <c r="C152" s="1401"/>
      <c r="D152" s="1400"/>
      <c r="E152" s="1400"/>
      <c r="F152" s="1400"/>
      <c r="G152" s="1398"/>
      <c r="H152" s="1398"/>
      <c r="I152" s="989"/>
      <c r="J152" s="989"/>
      <c r="K152" s="989"/>
      <c r="L152" s="989"/>
      <c r="M152" s="150">
        <f t="shared" si="10"/>
        <v>0</v>
      </c>
      <c r="N152" s="151">
        <f t="shared" si="11"/>
        <v>0</v>
      </c>
      <c r="O152" s="152">
        <f>+IF(OR($R152=Parametres!$G$2,$R152=Parametres!$G$3),J152,D152)</f>
        <v>0</v>
      </c>
      <c r="P152" s="1085">
        <f>+IF(OR($R152=Parametres!$G$2,$R152=Parametres!$G$3),K152,E152)</f>
        <v>0</v>
      </c>
      <c r="Q152" s="152">
        <f>+IF(OR($R152=Parametres!$G$2,$R152=Parametres!$G$3),L152,F152)</f>
        <v>0</v>
      </c>
      <c r="R152" s="151">
        <f t="shared" si="12"/>
        <v>0</v>
      </c>
      <c r="S152" s="150">
        <f t="shared" si="13"/>
        <v>0</v>
      </c>
      <c r="T152" s="151">
        <f t="shared" si="14"/>
        <v>0</v>
      </c>
      <c r="U152" s="153" t="e">
        <f>+VLOOKUP($M152,Data_Validation!$A:$D,1,0)</f>
        <v>#N/A</v>
      </c>
      <c r="V152" s="153" t="e">
        <f>+VLOOKUP($M152,Data_Validation!$A:$D,3,0)</f>
        <v>#N/A</v>
      </c>
      <c r="W152" s="153" t="e">
        <f>+VLOOKUP($M152,Data_Validation!$A:$D,4,0)</f>
        <v>#N/A</v>
      </c>
      <c r="X152" s="153" t="e">
        <f>+VLOOKUP($M152,Data_Validation!$A:$E,5,0)</f>
        <v>#N/A</v>
      </c>
      <c r="Y152" s="153" t="e">
        <f>+VLOOKUP($M152,Data_Validation!$A:$F,6,0)</f>
        <v>#N/A</v>
      </c>
    </row>
    <row r="153" spans="2:25" ht="15" customHeight="1">
      <c r="B153" s="1398"/>
      <c r="C153" s="1401"/>
      <c r="D153" s="1400"/>
      <c r="E153" s="1400"/>
      <c r="F153" s="1400"/>
      <c r="G153" s="1398"/>
      <c r="H153" s="1398"/>
      <c r="I153" s="989"/>
      <c r="J153" s="990"/>
      <c r="K153" s="990"/>
      <c r="L153" s="990"/>
      <c r="M153" s="150">
        <f t="shared" si="10"/>
        <v>0</v>
      </c>
      <c r="N153" s="151">
        <f t="shared" si="11"/>
        <v>0</v>
      </c>
      <c r="O153" s="152">
        <f>+IF(OR($R153=Parametres!$G$2,$R153=Parametres!$G$3),J153,D153)</f>
        <v>0</v>
      </c>
      <c r="P153" s="1085">
        <f>+IF(OR($R153=Parametres!$G$2,$R153=Parametres!$G$3),K153,E153)</f>
        <v>0</v>
      </c>
      <c r="Q153" s="152">
        <f>+IF(OR($R153=Parametres!$G$2,$R153=Parametres!$G$3),L153,F153)</f>
        <v>0</v>
      </c>
      <c r="R153" s="151">
        <f t="shared" si="12"/>
        <v>0</v>
      </c>
      <c r="S153" s="150">
        <f t="shared" si="13"/>
        <v>0</v>
      </c>
      <c r="T153" s="151">
        <f t="shared" si="14"/>
        <v>0</v>
      </c>
      <c r="U153" s="153" t="e">
        <f>+VLOOKUP($M153,Data_Validation!$A:$D,1,0)</f>
        <v>#N/A</v>
      </c>
      <c r="V153" s="153" t="e">
        <f>+VLOOKUP($M153,Data_Validation!$A:$D,3,0)</f>
        <v>#N/A</v>
      </c>
      <c r="W153" s="153" t="e">
        <f>+VLOOKUP($M153,Data_Validation!$A:$D,4,0)</f>
        <v>#N/A</v>
      </c>
      <c r="X153" s="153" t="e">
        <f>+VLOOKUP($M153,Data_Validation!$A:$E,5,0)</f>
        <v>#N/A</v>
      </c>
      <c r="Y153" s="153" t="e">
        <f>+VLOOKUP($M153,Data_Validation!$A:$F,6,0)</f>
        <v>#N/A</v>
      </c>
    </row>
    <row r="154" spans="2:25" ht="15" customHeight="1">
      <c r="B154" s="1398"/>
      <c r="C154" s="1401"/>
      <c r="D154" s="1400"/>
      <c r="E154" s="1400"/>
      <c r="F154" s="1400"/>
      <c r="G154" s="1398"/>
      <c r="H154" s="1398"/>
      <c r="I154" s="989"/>
      <c r="J154" s="989"/>
      <c r="K154" s="989"/>
      <c r="L154" s="989"/>
      <c r="M154" s="150">
        <f t="shared" si="10"/>
        <v>0</v>
      </c>
      <c r="N154" s="151">
        <f t="shared" si="11"/>
        <v>0</v>
      </c>
      <c r="O154" s="152">
        <f>+IF(OR($R154=Parametres!$G$2,$R154=Parametres!$G$3),J154,D154)</f>
        <v>0</v>
      </c>
      <c r="P154" s="1085">
        <f>+IF(OR($R154=Parametres!$G$2,$R154=Parametres!$G$3),K154,E154)</f>
        <v>0</v>
      </c>
      <c r="Q154" s="152">
        <f>+IF(OR($R154=Parametres!$G$2,$R154=Parametres!$G$3),L154,F154)</f>
        <v>0</v>
      </c>
      <c r="R154" s="151">
        <f t="shared" si="12"/>
        <v>0</v>
      </c>
      <c r="S154" s="150">
        <f t="shared" si="13"/>
        <v>0</v>
      </c>
      <c r="T154" s="151">
        <f t="shared" si="14"/>
        <v>0</v>
      </c>
      <c r="U154" s="153" t="e">
        <f>+VLOOKUP($M154,Data_Validation!$A:$D,1,0)</f>
        <v>#N/A</v>
      </c>
      <c r="V154" s="153" t="e">
        <f>+VLOOKUP($M154,Data_Validation!$A:$D,3,0)</f>
        <v>#N/A</v>
      </c>
      <c r="W154" s="153" t="e">
        <f>+VLOOKUP($M154,Data_Validation!$A:$D,4,0)</f>
        <v>#N/A</v>
      </c>
      <c r="X154" s="153" t="e">
        <f>+VLOOKUP($M154,Data_Validation!$A:$E,5,0)</f>
        <v>#N/A</v>
      </c>
      <c r="Y154" s="153" t="e">
        <f>+VLOOKUP($M154,Data_Validation!$A:$F,6,0)</f>
        <v>#N/A</v>
      </c>
    </row>
    <row r="155" spans="2:25" ht="15.75" customHeight="1">
      <c r="B155" s="1398"/>
      <c r="C155" s="1401"/>
      <c r="D155" s="1400"/>
      <c r="E155" s="1400"/>
      <c r="F155" s="1400"/>
      <c r="G155" s="1398"/>
      <c r="H155" s="1398"/>
      <c r="I155" s="989"/>
      <c r="J155" s="990"/>
      <c r="K155" s="990"/>
      <c r="L155" s="990"/>
      <c r="M155" s="150">
        <f t="shared" si="10"/>
        <v>0</v>
      </c>
      <c r="N155" s="151">
        <f t="shared" si="11"/>
        <v>0</v>
      </c>
      <c r="O155" s="152">
        <f>+IF(OR($R155=Parametres!$G$2,$R155=Parametres!$G$3),J155,D155)</f>
        <v>0</v>
      </c>
      <c r="P155" s="1085">
        <f>+IF(OR($R155=Parametres!$G$2,$R155=Parametres!$G$3),K155,E155)</f>
        <v>0</v>
      </c>
      <c r="Q155" s="152">
        <f>+IF(OR($R155=Parametres!$G$2,$R155=Parametres!$G$3),L155,F155)</f>
        <v>0</v>
      </c>
      <c r="R155" s="151">
        <f t="shared" si="12"/>
        <v>0</v>
      </c>
      <c r="S155" s="150">
        <f t="shared" si="13"/>
        <v>0</v>
      </c>
      <c r="T155" s="151">
        <f t="shared" si="14"/>
        <v>0</v>
      </c>
      <c r="U155" s="153" t="e">
        <f>+VLOOKUP($M155,Data_Validation!$A:$D,1,0)</f>
        <v>#N/A</v>
      </c>
      <c r="V155" s="153" t="e">
        <f>+VLOOKUP($M155,Data_Validation!$A:$D,3,0)</f>
        <v>#N/A</v>
      </c>
      <c r="W155" s="153" t="e">
        <f>+VLOOKUP($M155,Data_Validation!$A:$D,4,0)</f>
        <v>#N/A</v>
      </c>
      <c r="X155" s="153" t="e">
        <f>+VLOOKUP($M155,Data_Validation!$A:$E,5,0)</f>
        <v>#N/A</v>
      </c>
      <c r="Y155" s="153" t="e">
        <f>+VLOOKUP($M155,Data_Validation!$A:$F,6,0)</f>
        <v>#N/A</v>
      </c>
    </row>
    <row r="156" spans="2:25" ht="15" customHeight="1">
      <c r="B156" s="1398"/>
      <c r="C156" s="1401"/>
      <c r="D156" s="1400"/>
      <c r="E156" s="1400"/>
      <c r="F156" s="1400"/>
      <c r="G156" s="1398"/>
      <c r="H156" s="1398"/>
      <c r="I156" s="989"/>
      <c r="J156" s="989"/>
      <c r="K156" s="989"/>
      <c r="L156" s="989"/>
      <c r="M156" s="150">
        <f t="shared" si="10"/>
        <v>0</v>
      </c>
      <c r="N156" s="151">
        <f t="shared" si="11"/>
        <v>0</v>
      </c>
      <c r="O156" s="152">
        <f>+IF(OR($R156=Parametres!$G$2,$R156=Parametres!$G$3),J156,D156)</f>
        <v>0</v>
      </c>
      <c r="P156" s="1085">
        <f>+IF(OR($R156=Parametres!$G$2,$R156=Parametres!$G$3),K156,E156)</f>
        <v>0</v>
      </c>
      <c r="Q156" s="152">
        <f>+IF(OR($R156=Parametres!$G$2,$R156=Parametres!$G$3),L156,F156)</f>
        <v>0</v>
      </c>
      <c r="R156" s="151">
        <f t="shared" si="12"/>
        <v>0</v>
      </c>
      <c r="S156" s="150">
        <f t="shared" si="13"/>
        <v>0</v>
      </c>
      <c r="T156" s="151">
        <f t="shared" si="14"/>
        <v>0</v>
      </c>
      <c r="U156" s="153" t="e">
        <f>+VLOOKUP($M156,Data_Validation!$A:$D,1,0)</f>
        <v>#N/A</v>
      </c>
      <c r="V156" s="153" t="e">
        <f>+VLOOKUP($M156,Data_Validation!$A:$D,3,0)</f>
        <v>#N/A</v>
      </c>
      <c r="W156" s="153" t="e">
        <f>+VLOOKUP($M156,Data_Validation!$A:$D,4,0)</f>
        <v>#N/A</v>
      </c>
      <c r="X156" s="153" t="e">
        <f>+VLOOKUP($M156,Data_Validation!$A:$E,5,0)</f>
        <v>#N/A</v>
      </c>
      <c r="Y156" s="153" t="e">
        <f>+VLOOKUP($M156,Data_Validation!$A:$F,6,0)</f>
        <v>#N/A</v>
      </c>
    </row>
    <row r="157" spans="2:25" ht="15" customHeight="1">
      <c r="B157" s="1398"/>
      <c r="C157" s="1401"/>
      <c r="D157" s="1400"/>
      <c r="E157" s="1400"/>
      <c r="F157" s="1400"/>
      <c r="G157" s="1398"/>
      <c r="H157" s="1398"/>
      <c r="I157" s="948"/>
      <c r="J157" s="951"/>
      <c r="K157" s="951"/>
      <c r="L157" s="951"/>
      <c r="M157" s="150">
        <f t="shared" si="10"/>
        <v>0</v>
      </c>
      <c r="N157" s="151">
        <f t="shared" si="11"/>
        <v>0</v>
      </c>
      <c r="O157" s="152">
        <f>+IF(OR($R157=Parametres!$G$2,$R157=Parametres!$G$3),J157,D157)</f>
        <v>0</v>
      </c>
      <c r="P157" s="1085">
        <f>+IF(OR($R157=Parametres!$G$2,$R157=Parametres!$G$3),K157,E157)</f>
        <v>0</v>
      </c>
      <c r="Q157" s="152">
        <f>+IF(OR($R157=Parametres!$G$2,$R157=Parametres!$G$3),L157,F157)</f>
        <v>0</v>
      </c>
      <c r="R157" s="151">
        <f t="shared" si="12"/>
        <v>0</v>
      </c>
      <c r="S157" s="150">
        <f t="shared" si="13"/>
        <v>0</v>
      </c>
      <c r="T157" s="151">
        <f t="shared" si="14"/>
        <v>0</v>
      </c>
      <c r="U157" s="153" t="e">
        <f>+VLOOKUP($M157,Data_Validation!$A:$D,1,0)</f>
        <v>#N/A</v>
      </c>
      <c r="V157" s="153" t="e">
        <f>+VLOOKUP($M157,Data_Validation!$A:$D,3,0)</f>
        <v>#N/A</v>
      </c>
      <c r="W157" s="153" t="e">
        <f>+VLOOKUP($M157,Data_Validation!$A:$D,4,0)</f>
        <v>#N/A</v>
      </c>
      <c r="X157" s="153" t="e">
        <f>+VLOOKUP($M157,Data_Validation!$A:$E,5,0)</f>
        <v>#N/A</v>
      </c>
      <c r="Y157" s="153" t="e">
        <f>+VLOOKUP($M157,Data_Validation!$A:$F,6,0)</f>
        <v>#N/A</v>
      </c>
    </row>
    <row r="158" spans="2:25" ht="15" customHeight="1">
      <c r="B158" s="1398"/>
      <c r="C158" s="1401"/>
      <c r="D158" s="1400"/>
      <c r="E158" s="1400"/>
      <c r="F158" s="1400"/>
      <c r="G158" s="1398"/>
      <c r="H158" s="1398"/>
      <c r="I158" s="948"/>
      <c r="J158" s="949"/>
      <c r="K158" s="949"/>
      <c r="L158" s="949"/>
      <c r="M158" s="150">
        <f t="shared" si="10"/>
        <v>0</v>
      </c>
      <c r="N158" s="151">
        <f t="shared" si="11"/>
        <v>0</v>
      </c>
      <c r="O158" s="152">
        <f>+IF(OR($R158=Parametres!$G$2,$R158=Parametres!$G$3),J158,D158)</f>
        <v>0</v>
      </c>
      <c r="P158" s="1085">
        <f>+IF(OR($R158=Parametres!$G$2,$R158=Parametres!$G$3),K158,E158)</f>
        <v>0</v>
      </c>
      <c r="Q158" s="152">
        <f>+IF(OR($R158=Parametres!$G$2,$R158=Parametres!$G$3),L158,F158)</f>
        <v>0</v>
      </c>
      <c r="R158" s="151">
        <f t="shared" si="12"/>
        <v>0</v>
      </c>
      <c r="S158" s="150">
        <f t="shared" si="13"/>
        <v>0</v>
      </c>
      <c r="T158" s="151">
        <f t="shared" si="14"/>
        <v>0</v>
      </c>
      <c r="U158" s="153" t="e">
        <f>+VLOOKUP($M158,Data_Validation!$A:$D,1,0)</f>
        <v>#N/A</v>
      </c>
      <c r="V158" s="153" t="e">
        <f>+VLOOKUP($M158,Data_Validation!$A:$D,3,0)</f>
        <v>#N/A</v>
      </c>
      <c r="W158" s="153" t="e">
        <f>+VLOOKUP($M158,Data_Validation!$A:$D,4,0)</f>
        <v>#N/A</v>
      </c>
      <c r="X158" s="153" t="e">
        <f>+VLOOKUP($M158,Data_Validation!$A:$E,5,0)</f>
        <v>#N/A</v>
      </c>
      <c r="Y158" s="153" t="e">
        <f>+VLOOKUP($M158,Data_Validation!$A:$F,6,0)</f>
        <v>#N/A</v>
      </c>
    </row>
    <row r="159" spans="2:25" ht="15.75" customHeight="1">
      <c r="B159" s="1398"/>
      <c r="C159" s="1401"/>
      <c r="D159" s="1400"/>
      <c r="E159" s="1400"/>
      <c r="F159" s="1400"/>
      <c r="G159" s="1398"/>
      <c r="H159" s="1398"/>
      <c r="I159" s="948"/>
      <c r="J159" s="1200"/>
      <c r="K159" s="1200"/>
      <c r="L159" s="1200"/>
      <c r="M159" s="150">
        <f t="shared" si="10"/>
        <v>0</v>
      </c>
      <c r="N159" s="151">
        <f t="shared" si="11"/>
        <v>0</v>
      </c>
      <c r="O159" s="152">
        <f>+IF(OR($R159=Parametres!$G$2,$R159=Parametres!$G$3),J159,D159)</f>
        <v>0</v>
      </c>
      <c r="P159" s="1085">
        <f>+IF(OR($R159=Parametres!$G$2,$R159=Parametres!$G$3),K159,E159)</f>
        <v>0</v>
      </c>
      <c r="Q159" s="152">
        <f>+IF(OR($R159=Parametres!$G$2,$R159=Parametres!$G$3),L159,F159)</f>
        <v>0</v>
      </c>
      <c r="R159" s="151">
        <f t="shared" si="12"/>
        <v>0</v>
      </c>
      <c r="S159" s="150">
        <f t="shared" si="13"/>
        <v>0</v>
      </c>
      <c r="T159" s="151">
        <f t="shared" si="14"/>
        <v>0</v>
      </c>
      <c r="U159" s="153" t="e">
        <f>+VLOOKUP($M159,Data_Validation!$A:$D,1,0)</f>
        <v>#N/A</v>
      </c>
      <c r="V159" s="153" t="e">
        <f>+VLOOKUP($M159,Data_Validation!$A:$D,3,0)</f>
        <v>#N/A</v>
      </c>
      <c r="W159" s="153" t="e">
        <f>+VLOOKUP($M159,Data_Validation!$A:$D,4,0)</f>
        <v>#N/A</v>
      </c>
      <c r="X159" s="153" t="e">
        <f>+VLOOKUP($M159,Data_Validation!$A:$E,5,0)</f>
        <v>#N/A</v>
      </c>
      <c r="Y159" s="153" t="e">
        <f>+VLOOKUP($M159,Data_Validation!$A:$F,6,0)</f>
        <v>#N/A</v>
      </c>
    </row>
    <row r="160" spans="2:25" ht="15" customHeight="1">
      <c r="B160" s="1398"/>
      <c r="C160" s="1401"/>
      <c r="D160" s="1400"/>
      <c r="E160" s="1400"/>
      <c r="F160" s="1400"/>
      <c r="G160" s="1398"/>
      <c r="H160" s="1398"/>
      <c r="I160" s="948"/>
      <c r="J160" s="949"/>
      <c r="K160" s="949"/>
      <c r="L160" s="949"/>
      <c r="M160" s="150">
        <f t="shared" si="10"/>
        <v>0</v>
      </c>
      <c r="N160" s="151">
        <f t="shared" si="11"/>
        <v>0</v>
      </c>
      <c r="O160" s="152">
        <f>+IF(OR($R160=Parametres!$G$2,$R160=Parametres!$G$3),J160,D160)</f>
        <v>0</v>
      </c>
      <c r="P160" s="1085">
        <f>+IF(OR($R160=Parametres!$G$2,$R160=Parametres!$G$3),K160,E160)</f>
        <v>0</v>
      </c>
      <c r="Q160" s="152">
        <f>+IF(OR($R160=Parametres!$G$2,$R160=Parametres!$G$3),L160,F160)</f>
        <v>0</v>
      </c>
      <c r="R160" s="151">
        <f t="shared" si="12"/>
        <v>0</v>
      </c>
      <c r="S160" s="150">
        <f t="shared" si="13"/>
        <v>0</v>
      </c>
      <c r="T160" s="151">
        <f t="shared" si="14"/>
        <v>0</v>
      </c>
      <c r="U160" s="153" t="e">
        <f>+VLOOKUP($M160,Data_Validation!$A:$D,1,0)</f>
        <v>#N/A</v>
      </c>
      <c r="V160" s="153" t="e">
        <f>+VLOOKUP($M160,Data_Validation!$A:$D,3,0)</f>
        <v>#N/A</v>
      </c>
      <c r="W160" s="153" t="e">
        <f>+VLOOKUP($M160,Data_Validation!$A:$D,4,0)</f>
        <v>#N/A</v>
      </c>
      <c r="X160" s="153" t="e">
        <f>+VLOOKUP($M160,Data_Validation!$A:$E,5,0)</f>
        <v>#N/A</v>
      </c>
      <c r="Y160" s="153" t="e">
        <f>+VLOOKUP($M160,Data_Validation!$A:$F,6,0)</f>
        <v>#N/A</v>
      </c>
    </row>
    <row r="161" spans="2:25" ht="15" customHeight="1">
      <c r="B161" s="1398"/>
      <c r="C161" s="1401"/>
      <c r="D161" s="1400"/>
      <c r="E161" s="1400"/>
      <c r="F161" s="1400"/>
      <c r="G161" s="1398"/>
      <c r="H161" s="1398"/>
      <c r="I161" s="948"/>
      <c r="J161" s="1200"/>
      <c r="K161" s="1200"/>
      <c r="L161" s="1200"/>
      <c r="M161" s="150">
        <f t="shared" si="10"/>
        <v>0</v>
      </c>
      <c r="N161" s="151">
        <f t="shared" si="11"/>
        <v>0</v>
      </c>
      <c r="O161" s="152">
        <f>+IF(OR($R161=Parametres!$G$2,$R161=Parametres!$G$3),J161,D161)</f>
        <v>0</v>
      </c>
      <c r="P161" s="1085">
        <f>+IF(OR($R161=Parametres!$G$2,$R161=Parametres!$G$3),K161,E161)</f>
        <v>0</v>
      </c>
      <c r="Q161" s="152">
        <f>+IF(OR($R161=Parametres!$G$2,$R161=Parametres!$G$3),L161,F161)</f>
        <v>0</v>
      </c>
      <c r="R161" s="151">
        <f t="shared" si="12"/>
        <v>0</v>
      </c>
      <c r="S161" s="150">
        <f t="shared" si="13"/>
        <v>0</v>
      </c>
      <c r="T161" s="151">
        <f t="shared" si="14"/>
        <v>0</v>
      </c>
      <c r="U161" s="153" t="e">
        <f>+VLOOKUP($M161,Data_Validation!$A:$D,1,0)</f>
        <v>#N/A</v>
      </c>
      <c r="V161" s="153" t="e">
        <f>+VLOOKUP($M161,Data_Validation!$A:$D,3,0)</f>
        <v>#N/A</v>
      </c>
      <c r="W161" s="153" t="e">
        <f>+VLOOKUP($M161,Data_Validation!$A:$D,4,0)</f>
        <v>#N/A</v>
      </c>
      <c r="X161" s="153" t="e">
        <f>+VLOOKUP($M161,Data_Validation!$A:$E,5,0)</f>
        <v>#N/A</v>
      </c>
      <c r="Y161" s="153" t="e">
        <f>+VLOOKUP($M161,Data_Validation!$A:$F,6,0)</f>
        <v>#N/A</v>
      </c>
    </row>
    <row r="162" spans="2:25" ht="15" customHeight="1">
      <c r="B162" s="1398"/>
      <c r="C162" s="1401"/>
      <c r="D162" s="1400"/>
      <c r="E162" s="1400"/>
      <c r="F162" s="1400"/>
      <c r="G162" s="1398"/>
      <c r="H162" s="1398"/>
      <c r="I162" s="989"/>
      <c r="J162" s="990"/>
      <c r="K162" s="990"/>
      <c r="L162" s="990"/>
      <c r="M162" s="150">
        <f t="shared" si="10"/>
        <v>0</v>
      </c>
      <c r="N162" s="151">
        <f t="shared" si="11"/>
        <v>0</v>
      </c>
      <c r="O162" s="152">
        <f>+IF(OR($R162=Parametres!$G$2,$R162=Parametres!$G$3),J162,D162)</f>
        <v>0</v>
      </c>
      <c r="P162" s="1085">
        <f>+IF(OR($R162=Parametres!$G$2,$R162=Parametres!$G$3),K162,E162)</f>
        <v>0</v>
      </c>
      <c r="Q162" s="152">
        <f>+IF(OR($R162=Parametres!$G$2,$R162=Parametres!$G$3),L162,F162)</f>
        <v>0</v>
      </c>
      <c r="R162" s="151">
        <f t="shared" si="12"/>
        <v>0</v>
      </c>
      <c r="S162" s="150">
        <f t="shared" si="13"/>
        <v>0</v>
      </c>
      <c r="T162" s="151">
        <f t="shared" si="14"/>
        <v>0</v>
      </c>
      <c r="U162" s="153" t="e">
        <f>+VLOOKUP($M162,Data_Validation!$A:$D,1,0)</f>
        <v>#N/A</v>
      </c>
      <c r="V162" s="153" t="e">
        <f>+VLOOKUP($M162,Data_Validation!$A:$D,3,0)</f>
        <v>#N/A</v>
      </c>
      <c r="W162" s="153" t="e">
        <f>+VLOOKUP($M162,Data_Validation!$A:$D,4,0)</f>
        <v>#N/A</v>
      </c>
      <c r="X162" s="153" t="e">
        <f>+VLOOKUP($M162,Data_Validation!$A:$E,5,0)</f>
        <v>#N/A</v>
      </c>
      <c r="Y162" s="153" t="e">
        <f>+VLOOKUP($M162,Data_Validation!$A:$F,6,0)</f>
        <v>#N/A</v>
      </c>
    </row>
    <row r="163" spans="2:25" ht="15.75" customHeight="1">
      <c r="B163" s="1398"/>
      <c r="C163" s="1401"/>
      <c r="D163" s="1400"/>
      <c r="E163" s="1400"/>
      <c r="F163" s="1400"/>
      <c r="G163" s="1398"/>
      <c r="H163" s="1398"/>
      <c r="I163" s="1198"/>
      <c r="J163" s="1201"/>
      <c r="K163" s="1198"/>
      <c r="L163" s="1201"/>
      <c r="M163" s="150">
        <f t="shared" si="10"/>
        <v>0</v>
      </c>
      <c r="N163" s="151">
        <f t="shared" si="11"/>
        <v>0</v>
      </c>
      <c r="O163" s="152">
        <f>+IF(OR($R163=Parametres!$G$2,$R163=Parametres!$G$3),J163,D163)</f>
        <v>0</v>
      </c>
      <c r="P163" s="1085">
        <f>+IF(OR($R163=Parametres!$G$2,$R163=Parametres!$G$3),K163,E163)</f>
        <v>0</v>
      </c>
      <c r="Q163" s="152">
        <f>+IF(OR($R163=Parametres!$G$2,$R163=Parametres!$G$3),L163,F163)</f>
        <v>0</v>
      </c>
      <c r="R163" s="151">
        <f t="shared" si="12"/>
        <v>0</v>
      </c>
      <c r="S163" s="150">
        <f t="shared" si="13"/>
        <v>0</v>
      </c>
      <c r="T163" s="151">
        <f t="shared" si="14"/>
        <v>0</v>
      </c>
      <c r="U163" s="153" t="e">
        <f>+VLOOKUP($M163,Data_Validation!$A:$D,1,0)</f>
        <v>#N/A</v>
      </c>
      <c r="V163" s="153" t="e">
        <f>+VLOOKUP($M163,Data_Validation!$A:$D,3,0)</f>
        <v>#N/A</v>
      </c>
      <c r="W163" s="153" t="e">
        <f>+VLOOKUP($M163,Data_Validation!$A:$D,4,0)</f>
        <v>#N/A</v>
      </c>
      <c r="X163" s="153" t="e">
        <f>+VLOOKUP($M163,Data_Validation!$A:$E,5,0)</f>
        <v>#N/A</v>
      </c>
      <c r="Y163" s="153" t="e">
        <f>+VLOOKUP($M163,Data_Validation!$A:$F,6,0)</f>
        <v>#N/A</v>
      </c>
    </row>
    <row r="164" spans="2:25" ht="15" customHeight="1">
      <c r="B164" s="1398"/>
      <c r="C164" s="1401"/>
      <c r="D164" s="1400"/>
      <c r="E164" s="1400"/>
      <c r="F164" s="1400"/>
      <c r="G164" s="1398"/>
      <c r="H164" s="1398"/>
      <c r="I164" s="928"/>
      <c r="J164" s="928"/>
      <c r="K164" s="928"/>
      <c r="L164" s="928"/>
      <c r="M164" s="150">
        <f t="shared" si="10"/>
        <v>0</v>
      </c>
      <c r="N164" s="151">
        <f t="shared" si="11"/>
        <v>0</v>
      </c>
      <c r="O164" s="152">
        <f>+IF(OR($R164=Parametres!$G$2,$R164=Parametres!$G$3),J164,D164)</f>
        <v>0</v>
      </c>
      <c r="P164" s="1085">
        <f>+IF(OR($R164=Parametres!$G$2,$R164=Parametres!$G$3),K164,E164)</f>
        <v>0</v>
      </c>
      <c r="Q164" s="152">
        <f>+IF(OR($R164=Parametres!$G$2,$R164=Parametres!$G$3),L164,F164)</f>
        <v>0</v>
      </c>
      <c r="R164" s="151">
        <f t="shared" si="12"/>
        <v>0</v>
      </c>
      <c r="S164" s="150">
        <f t="shared" si="13"/>
        <v>0</v>
      </c>
      <c r="T164" s="151">
        <f t="shared" si="14"/>
        <v>0</v>
      </c>
      <c r="U164" s="153" t="e">
        <f>+VLOOKUP($M164,Data_Validation!$A:$D,1,0)</f>
        <v>#N/A</v>
      </c>
      <c r="V164" s="153" t="e">
        <f>+VLOOKUP($M164,Data_Validation!$A:$D,3,0)</f>
        <v>#N/A</v>
      </c>
      <c r="W164" s="153" t="e">
        <f>+VLOOKUP($M164,Data_Validation!$A:$D,4,0)</f>
        <v>#N/A</v>
      </c>
      <c r="X164" s="153" t="e">
        <f>+VLOOKUP($M164,Data_Validation!$A:$E,5,0)</f>
        <v>#N/A</v>
      </c>
      <c r="Y164" s="153" t="e">
        <f>+VLOOKUP($M164,Data_Validation!$A:$F,6,0)</f>
        <v>#N/A</v>
      </c>
    </row>
    <row r="165" spans="2:25" ht="15" customHeight="1">
      <c r="B165" s="1398"/>
      <c r="C165" s="1401"/>
      <c r="D165" s="1400"/>
      <c r="E165" s="1400"/>
      <c r="F165" s="1400"/>
      <c r="G165" s="1398"/>
      <c r="H165" s="1398"/>
      <c r="I165" s="928"/>
      <c r="J165" s="1202"/>
      <c r="K165" s="1202"/>
      <c r="L165" s="1202"/>
      <c r="M165" s="150">
        <f t="shared" si="10"/>
        <v>0</v>
      </c>
      <c r="N165" s="151">
        <f t="shared" si="11"/>
        <v>0</v>
      </c>
      <c r="O165" s="152">
        <f>+IF(OR($R165=Parametres!$G$2,$R165=Parametres!$G$3),J165,D165)</f>
        <v>0</v>
      </c>
      <c r="P165" s="1085">
        <f>+IF(OR($R165=Parametres!$G$2,$R165=Parametres!$G$3),K165,E165)</f>
        <v>0</v>
      </c>
      <c r="Q165" s="152">
        <f>+IF(OR($R165=Parametres!$G$2,$R165=Parametres!$G$3),L165,F165)</f>
        <v>0</v>
      </c>
      <c r="R165" s="151">
        <f t="shared" si="12"/>
        <v>0</v>
      </c>
      <c r="S165" s="150">
        <f t="shared" si="13"/>
        <v>0</v>
      </c>
      <c r="T165" s="151">
        <f t="shared" si="14"/>
        <v>0</v>
      </c>
      <c r="U165" s="153" t="e">
        <f>+VLOOKUP($M165,Data_Validation!$A:$D,1,0)</f>
        <v>#N/A</v>
      </c>
      <c r="V165" s="153" t="e">
        <f>+VLOOKUP($M165,Data_Validation!$A:$D,3,0)</f>
        <v>#N/A</v>
      </c>
      <c r="W165" s="153" t="e">
        <f>+VLOOKUP($M165,Data_Validation!$A:$D,4,0)</f>
        <v>#N/A</v>
      </c>
      <c r="X165" s="153" t="e">
        <f>+VLOOKUP($M165,Data_Validation!$A:$E,5,0)</f>
        <v>#N/A</v>
      </c>
      <c r="Y165" s="153" t="e">
        <f>+VLOOKUP($M165,Data_Validation!$A:$F,6,0)</f>
        <v>#N/A</v>
      </c>
    </row>
    <row r="166" spans="2:25" ht="15" customHeight="1">
      <c r="B166" s="1398"/>
      <c r="C166" s="1401"/>
      <c r="D166" s="1400"/>
      <c r="E166" s="1400"/>
      <c r="F166" s="1400"/>
      <c r="G166" s="1398"/>
      <c r="H166" s="1398"/>
      <c r="I166" s="948"/>
      <c r="J166" s="1376"/>
      <c r="K166" s="1376"/>
      <c r="L166" s="1376"/>
      <c r="M166" s="150">
        <f t="shared" si="10"/>
        <v>0</v>
      </c>
      <c r="N166" s="151">
        <f t="shared" si="11"/>
        <v>0</v>
      </c>
      <c r="O166" s="152">
        <f>+IF(OR($R166=Parametres!$G$2,$R166=Parametres!$G$3),J166,D166)</f>
        <v>0</v>
      </c>
      <c r="P166" s="1085">
        <f>+IF(OR($R166=Parametres!$G$2,$R166=Parametres!$G$3),K166,E166)</f>
        <v>0</v>
      </c>
      <c r="Q166" s="152">
        <f>+IF(OR($R166=Parametres!$G$2,$R166=Parametres!$G$3),L166,F166)</f>
        <v>0</v>
      </c>
      <c r="R166" s="151">
        <f t="shared" si="12"/>
        <v>0</v>
      </c>
      <c r="S166" s="150">
        <f t="shared" si="13"/>
        <v>0</v>
      </c>
      <c r="T166" s="151">
        <f t="shared" si="14"/>
        <v>0</v>
      </c>
      <c r="U166" s="153" t="e">
        <f>+VLOOKUP($M166,Data_Validation!$A:$D,1,0)</f>
        <v>#N/A</v>
      </c>
      <c r="V166" s="153" t="e">
        <f>+VLOOKUP($M166,Data_Validation!$A:$D,3,0)</f>
        <v>#N/A</v>
      </c>
      <c r="W166" s="153" t="e">
        <f>+VLOOKUP($M166,Data_Validation!$A:$D,4,0)</f>
        <v>#N/A</v>
      </c>
      <c r="X166" s="153" t="e">
        <f>+VLOOKUP($M166,Data_Validation!$A:$E,5,0)</f>
        <v>#N/A</v>
      </c>
      <c r="Y166" s="153" t="e">
        <f>+VLOOKUP($M166,Data_Validation!$A:$F,6,0)</f>
        <v>#N/A</v>
      </c>
    </row>
    <row r="167" spans="2:25" ht="15" customHeight="1">
      <c r="B167" s="1398"/>
      <c r="C167" s="1401"/>
      <c r="D167" s="1400"/>
      <c r="E167" s="1400"/>
      <c r="F167" s="1400"/>
      <c r="G167" s="1398"/>
      <c r="H167" s="1398"/>
      <c r="I167" s="948"/>
      <c r="J167" s="1376"/>
      <c r="K167" s="1376"/>
      <c r="L167" s="1376"/>
      <c r="M167" s="150">
        <f t="shared" si="10"/>
        <v>0</v>
      </c>
      <c r="N167" s="151">
        <f t="shared" si="11"/>
        <v>0</v>
      </c>
      <c r="O167" s="152">
        <f>+IF(OR($R167=Parametres!$G$2,$R167=Parametres!$G$3),J167,D167)</f>
        <v>0</v>
      </c>
      <c r="P167" s="1085">
        <f>+IF(OR($R167=Parametres!$G$2,$R167=Parametres!$G$3),K167,E167)</f>
        <v>0</v>
      </c>
      <c r="Q167" s="152">
        <f>+IF(OR($R167=Parametres!$G$2,$R167=Parametres!$G$3),L167,F167)</f>
        <v>0</v>
      </c>
      <c r="R167" s="151">
        <f t="shared" si="12"/>
        <v>0</v>
      </c>
      <c r="S167" s="150">
        <f t="shared" si="13"/>
        <v>0</v>
      </c>
      <c r="T167" s="151">
        <f t="shared" si="14"/>
        <v>0</v>
      </c>
      <c r="U167" s="153" t="e">
        <f>+VLOOKUP($M167,Data_Validation!$A:$D,1,0)</f>
        <v>#N/A</v>
      </c>
      <c r="V167" s="153" t="e">
        <f>+VLOOKUP($M167,Data_Validation!$A:$D,3,0)</f>
        <v>#N/A</v>
      </c>
      <c r="W167" s="153" t="e">
        <f>+VLOOKUP($M167,Data_Validation!$A:$D,4,0)</f>
        <v>#N/A</v>
      </c>
      <c r="X167" s="153" t="e">
        <f>+VLOOKUP($M167,Data_Validation!$A:$E,5,0)</f>
        <v>#N/A</v>
      </c>
      <c r="Y167" s="153" t="e">
        <f>+VLOOKUP($M167,Data_Validation!$A:$F,6,0)</f>
        <v>#N/A</v>
      </c>
    </row>
    <row r="168" spans="2:25" ht="15.75" customHeight="1">
      <c r="B168" s="1398"/>
      <c r="C168" s="1401"/>
      <c r="D168" s="1400"/>
      <c r="E168" s="1400"/>
      <c r="F168" s="1400"/>
      <c r="G168" s="1398"/>
      <c r="H168" s="1398"/>
      <c r="I168" s="948"/>
      <c r="J168" s="1376"/>
      <c r="K168" s="1376"/>
      <c r="L168" s="1376"/>
      <c r="M168" s="150">
        <f t="shared" si="10"/>
        <v>0</v>
      </c>
      <c r="N168" s="151">
        <f t="shared" si="11"/>
        <v>0</v>
      </c>
      <c r="O168" s="152">
        <f>+IF(OR($R168=Parametres!$G$2,$R168=Parametres!$G$3),J168,D168)</f>
        <v>0</v>
      </c>
      <c r="P168" s="1085">
        <f>+IF(OR($R168=Parametres!$G$2,$R168=Parametres!$G$3),K168,E168)</f>
        <v>0</v>
      </c>
      <c r="Q168" s="152">
        <f>+IF(OR($R168=Parametres!$G$2,$R168=Parametres!$G$3),L168,F168)</f>
        <v>0</v>
      </c>
      <c r="R168" s="151">
        <f t="shared" si="12"/>
        <v>0</v>
      </c>
      <c r="S168" s="150">
        <f t="shared" si="13"/>
        <v>0</v>
      </c>
      <c r="T168" s="151">
        <f t="shared" si="14"/>
        <v>0</v>
      </c>
      <c r="U168" s="153" t="e">
        <f>+VLOOKUP($M168,Data_Validation!$A:$D,1,0)</f>
        <v>#N/A</v>
      </c>
      <c r="V168" s="153" t="e">
        <f>+VLOOKUP($M168,Data_Validation!$A:$D,3,0)</f>
        <v>#N/A</v>
      </c>
      <c r="W168" s="153" t="e">
        <f>+VLOOKUP($M168,Data_Validation!$A:$D,4,0)</f>
        <v>#N/A</v>
      </c>
      <c r="X168" s="153" t="e">
        <f>+VLOOKUP($M168,Data_Validation!$A:$E,5,0)</f>
        <v>#N/A</v>
      </c>
      <c r="Y168" s="153" t="e">
        <f>+VLOOKUP($M168,Data_Validation!$A:$F,6,0)</f>
        <v>#N/A</v>
      </c>
    </row>
    <row r="169" spans="2:25" ht="15" customHeight="1">
      <c r="B169" s="1398"/>
      <c r="C169" s="1401"/>
      <c r="D169" s="1400"/>
      <c r="E169" s="1400"/>
      <c r="F169" s="1400"/>
      <c r="G169" s="1398"/>
      <c r="H169" s="1398"/>
      <c r="I169" s="989"/>
      <c r="J169" s="1377"/>
      <c r="K169" s="1377"/>
      <c r="L169" s="1377"/>
      <c r="M169" s="150">
        <f t="shared" si="10"/>
        <v>0</v>
      </c>
      <c r="N169" s="151">
        <f t="shared" si="11"/>
        <v>0</v>
      </c>
      <c r="O169" s="152">
        <f>+IF(OR($R169=Parametres!$G$2,$R169=Parametres!$G$3),J169,D169)</f>
        <v>0</v>
      </c>
      <c r="P169" s="1085">
        <f>+IF(OR($R169=Parametres!$G$2,$R169=Parametres!$G$3),K169,E169)</f>
        <v>0</v>
      </c>
      <c r="Q169" s="152">
        <f>+IF(OR($R169=Parametres!$G$2,$R169=Parametres!$G$3),L169,F169)</f>
        <v>0</v>
      </c>
      <c r="R169" s="151">
        <f t="shared" si="12"/>
        <v>0</v>
      </c>
      <c r="S169" s="150">
        <f t="shared" si="13"/>
        <v>0</v>
      </c>
      <c r="T169" s="151">
        <f t="shared" si="14"/>
        <v>0</v>
      </c>
      <c r="U169" s="153" t="e">
        <f>+VLOOKUP($M169,Data_Validation!$A:$D,1,0)</f>
        <v>#N/A</v>
      </c>
      <c r="V169" s="153" t="e">
        <f>+VLOOKUP($M169,Data_Validation!$A:$D,3,0)</f>
        <v>#N/A</v>
      </c>
      <c r="W169" s="153" t="e">
        <f>+VLOOKUP($M169,Data_Validation!$A:$D,4,0)</f>
        <v>#N/A</v>
      </c>
      <c r="X169" s="153" t="e">
        <f>+VLOOKUP($M169,Data_Validation!$A:$E,5,0)</f>
        <v>#N/A</v>
      </c>
      <c r="Y169" s="153" t="e">
        <f>+VLOOKUP($M169,Data_Validation!$A:$F,6,0)</f>
        <v>#N/A</v>
      </c>
    </row>
    <row r="170" spans="2:25" ht="15" customHeight="1">
      <c r="B170" s="1398"/>
      <c r="C170" s="1401"/>
      <c r="D170" s="1400"/>
      <c r="E170" s="1400"/>
      <c r="F170" s="1400"/>
      <c r="G170" s="1398"/>
      <c r="H170" s="1398"/>
      <c r="I170" s="989"/>
      <c r="J170" s="1377"/>
      <c r="K170" s="1377"/>
      <c r="L170" s="1377"/>
      <c r="M170" s="150">
        <f t="shared" si="10"/>
        <v>0</v>
      </c>
      <c r="N170" s="151">
        <f t="shared" si="11"/>
        <v>0</v>
      </c>
      <c r="O170" s="152">
        <f>+IF(OR($R170=Parametres!$G$2,$R170=Parametres!$G$3),J170,D170)</f>
        <v>0</v>
      </c>
      <c r="P170" s="1085">
        <f>+IF(OR($R170=Parametres!$G$2,$R170=Parametres!$G$3),K170,E170)</f>
        <v>0</v>
      </c>
      <c r="Q170" s="152">
        <f>+IF(OR($R170=Parametres!$G$2,$R170=Parametres!$G$3),L170,F170)</f>
        <v>0</v>
      </c>
      <c r="R170" s="151">
        <f t="shared" si="12"/>
        <v>0</v>
      </c>
      <c r="S170" s="150">
        <f t="shared" si="13"/>
        <v>0</v>
      </c>
      <c r="T170" s="151">
        <f t="shared" si="14"/>
        <v>0</v>
      </c>
      <c r="U170" s="153" t="e">
        <f>+VLOOKUP($M170,Data_Validation!$A:$D,1,0)</f>
        <v>#N/A</v>
      </c>
      <c r="V170" s="153" t="e">
        <f>+VLOOKUP($M170,Data_Validation!$A:$D,3,0)</f>
        <v>#N/A</v>
      </c>
      <c r="W170" s="153" t="e">
        <f>+VLOOKUP($M170,Data_Validation!$A:$D,4,0)</f>
        <v>#N/A</v>
      </c>
      <c r="X170" s="153" t="e">
        <f>+VLOOKUP($M170,Data_Validation!$A:$E,5,0)</f>
        <v>#N/A</v>
      </c>
      <c r="Y170" s="153" t="e">
        <f>+VLOOKUP($M170,Data_Validation!$A:$F,6,0)</f>
        <v>#N/A</v>
      </c>
    </row>
    <row r="171" spans="2:25" ht="15" customHeight="1">
      <c r="B171" s="1398"/>
      <c r="C171" s="1401"/>
      <c r="D171" s="1400"/>
      <c r="E171" s="1400"/>
      <c r="F171" s="1400"/>
      <c r="G171" s="1398"/>
      <c r="H171" s="1398"/>
      <c r="I171" s="1198"/>
      <c r="J171" s="1378"/>
      <c r="K171" s="1378"/>
      <c r="L171" s="1378"/>
      <c r="M171" s="150">
        <f t="shared" si="10"/>
        <v>0</v>
      </c>
      <c r="N171" s="151">
        <f t="shared" si="11"/>
        <v>0</v>
      </c>
      <c r="O171" s="152">
        <f>+IF(OR($R171=Parametres!$G$2,$R171=Parametres!$G$3),J171,D171)</f>
        <v>0</v>
      </c>
      <c r="P171" s="1085">
        <f>+IF(OR($R171=Parametres!$G$2,$R171=Parametres!$G$3),K171,E171)</f>
        <v>0</v>
      </c>
      <c r="Q171" s="152">
        <f>+IF(OR($R171=Parametres!$G$2,$R171=Parametres!$G$3),L171,F171)</f>
        <v>0</v>
      </c>
      <c r="R171" s="151">
        <f t="shared" si="12"/>
        <v>0</v>
      </c>
      <c r="S171" s="150">
        <f t="shared" si="13"/>
        <v>0</v>
      </c>
      <c r="T171" s="151">
        <f t="shared" si="14"/>
        <v>0</v>
      </c>
      <c r="U171" s="153" t="e">
        <f>+VLOOKUP($M171,Data_Validation!$A:$D,1,0)</f>
        <v>#N/A</v>
      </c>
      <c r="V171" s="153" t="e">
        <f>+VLOOKUP($M171,Data_Validation!$A:$D,3,0)</f>
        <v>#N/A</v>
      </c>
      <c r="W171" s="153" t="e">
        <f>+VLOOKUP($M171,Data_Validation!$A:$D,4,0)</f>
        <v>#N/A</v>
      </c>
      <c r="X171" s="153" t="e">
        <f>+VLOOKUP($M171,Data_Validation!$A:$E,5,0)</f>
        <v>#N/A</v>
      </c>
      <c r="Y171" s="153" t="e">
        <f>+VLOOKUP($M171,Data_Validation!$A:$F,6,0)</f>
        <v>#N/A</v>
      </c>
    </row>
    <row r="172" spans="2:25" ht="15.75" customHeight="1">
      <c r="B172" s="1398"/>
      <c r="C172" s="1401"/>
      <c r="D172" s="1400"/>
      <c r="E172" s="1400"/>
      <c r="F172" s="1400"/>
      <c r="G172" s="1398"/>
      <c r="H172" s="1398"/>
      <c r="I172" s="1198"/>
      <c r="J172" s="1378"/>
      <c r="K172" s="1378"/>
      <c r="L172" s="1378"/>
      <c r="M172" s="150">
        <f t="shared" si="10"/>
        <v>0</v>
      </c>
      <c r="N172" s="151">
        <f t="shared" si="11"/>
        <v>0</v>
      </c>
      <c r="O172" s="152">
        <f>+IF(OR($R172=Parametres!$G$2,$R172=Parametres!$G$3),J172,D172)</f>
        <v>0</v>
      </c>
      <c r="P172" s="1085">
        <f>+IF(OR($R172=Parametres!$G$2,$R172=Parametres!$G$3),K172,E172)</f>
        <v>0</v>
      </c>
      <c r="Q172" s="152">
        <f>+IF(OR($R172=Parametres!$G$2,$R172=Parametres!$G$3),L172,F172)</f>
        <v>0</v>
      </c>
      <c r="R172" s="151">
        <f t="shared" si="12"/>
        <v>0</v>
      </c>
      <c r="S172" s="150">
        <f t="shared" si="13"/>
        <v>0</v>
      </c>
      <c r="T172" s="151">
        <f t="shared" si="14"/>
        <v>0</v>
      </c>
      <c r="U172" s="153" t="e">
        <f>+VLOOKUP($M172,Data_Validation!$A:$D,1,0)</f>
        <v>#N/A</v>
      </c>
      <c r="V172" s="153" t="e">
        <f>+VLOOKUP($M172,Data_Validation!$A:$D,3,0)</f>
        <v>#N/A</v>
      </c>
      <c r="W172" s="153" t="e">
        <f>+VLOOKUP($M172,Data_Validation!$A:$D,4,0)</f>
        <v>#N/A</v>
      </c>
      <c r="X172" s="153" t="e">
        <f>+VLOOKUP($M172,Data_Validation!$A:$E,5,0)</f>
        <v>#N/A</v>
      </c>
      <c r="Y172" s="153" t="e">
        <f>+VLOOKUP($M172,Data_Validation!$A:$F,6,0)</f>
        <v>#N/A</v>
      </c>
    </row>
    <row r="173" spans="2:25" ht="15" customHeight="1">
      <c r="B173" s="1398"/>
      <c r="C173" s="1401"/>
      <c r="D173" s="1400"/>
      <c r="E173" s="1400"/>
      <c r="F173" s="1400"/>
      <c r="G173" s="1398"/>
      <c r="H173" s="1398"/>
      <c r="I173" s="989"/>
      <c r="J173" s="1377"/>
      <c r="K173" s="1377"/>
      <c r="L173" s="1377"/>
      <c r="M173" s="150">
        <f t="shared" si="10"/>
        <v>0</v>
      </c>
      <c r="N173" s="151">
        <f t="shared" si="11"/>
        <v>0</v>
      </c>
      <c r="O173" s="152">
        <f>+IF(OR($R173=Parametres!$G$2,$R173=Parametres!$G$3),J173,D173)</f>
        <v>0</v>
      </c>
      <c r="P173" s="1085">
        <f>+IF(OR($R173=Parametres!$G$2,$R173=Parametres!$G$3),K173,E173)</f>
        <v>0</v>
      </c>
      <c r="Q173" s="152">
        <f>+IF(OR($R173=Parametres!$G$2,$R173=Parametres!$G$3),L173,F173)</f>
        <v>0</v>
      </c>
      <c r="R173" s="151">
        <f t="shared" si="12"/>
        <v>0</v>
      </c>
      <c r="S173" s="150">
        <f t="shared" si="13"/>
        <v>0</v>
      </c>
      <c r="T173" s="151">
        <f t="shared" si="14"/>
        <v>0</v>
      </c>
      <c r="U173" s="153" t="e">
        <f>+VLOOKUP($M173,Data_Validation!$A:$D,1,0)</f>
        <v>#N/A</v>
      </c>
      <c r="V173" s="153" t="e">
        <f>+VLOOKUP($M173,Data_Validation!$A:$D,3,0)</f>
        <v>#N/A</v>
      </c>
      <c r="W173" s="153" t="e">
        <f>+VLOOKUP($M173,Data_Validation!$A:$D,4,0)</f>
        <v>#N/A</v>
      </c>
      <c r="X173" s="153" t="e">
        <f>+VLOOKUP($M173,Data_Validation!$A:$E,5,0)</f>
        <v>#N/A</v>
      </c>
      <c r="Y173" s="153" t="e">
        <f>+VLOOKUP($M173,Data_Validation!$A:$F,6,0)</f>
        <v>#N/A</v>
      </c>
    </row>
    <row r="174" spans="2:25" ht="15" customHeight="1">
      <c r="B174" s="1398"/>
      <c r="C174" s="1401"/>
      <c r="D174" s="1400"/>
      <c r="E174" s="1400"/>
      <c r="F174" s="1400"/>
      <c r="G174" s="1398"/>
      <c r="H174" s="1398"/>
      <c r="I174" s="989"/>
      <c r="J174" s="1377"/>
      <c r="K174" s="1377"/>
      <c r="L174" s="1377"/>
      <c r="M174" s="150">
        <f t="shared" si="10"/>
        <v>0</v>
      </c>
      <c r="N174" s="151">
        <f t="shared" si="11"/>
        <v>0</v>
      </c>
      <c r="O174" s="152">
        <f>+IF(OR($R174=Parametres!$G$2,$R174=Parametres!$G$3),J174,D174)</f>
        <v>0</v>
      </c>
      <c r="P174" s="1085">
        <f>+IF(OR($R174=Parametres!$G$2,$R174=Parametres!$G$3),K174,E174)</f>
        <v>0</v>
      </c>
      <c r="Q174" s="152">
        <f>+IF(OR($R174=Parametres!$G$2,$R174=Parametres!$G$3),L174,F174)</f>
        <v>0</v>
      </c>
      <c r="R174" s="151">
        <f t="shared" si="12"/>
        <v>0</v>
      </c>
      <c r="S174" s="150">
        <f t="shared" si="13"/>
        <v>0</v>
      </c>
      <c r="T174" s="151">
        <f t="shared" si="14"/>
        <v>0</v>
      </c>
      <c r="U174" s="153" t="e">
        <f>+VLOOKUP($M174,Data_Validation!$A:$D,1,0)</f>
        <v>#N/A</v>
      </c>
      <c r="V174" s="153" t="e">
        <f>+VLOOKUP($M174,Data_Validation!$A:$D,3,0)</f>
        <v>#N/A</v>
      </c>
      <c r="W174" s="153" t="e">
        <f>+VLOOKUP($M174,Data_Validation!$A:$D,4,0)</f>
        <v>#N/A</v>
      </c>
      <c r="X174" s="153" t="e">
        <f>+VLOOKUP($M174,Data_Validation!$A:$E,5,0)</f>
        <v>#N/A</v>
      </c>
      <c r="Y174" s="153" t="e">
        <f>+VLOOKUP($M174,Data_Validation!$A:$F,6,0)</f>
        <v>#N/A</v>
      </c>
    </row>
    <row r="175" spans="2:25" ht="15" customHeight="1">
      <c r="B175" s="1398"/>
      <c r="C175" s="1401"/>
      <c r="D175" s="1400"/>
      <c r="E175" s="1400"/>
      <c r="F175" s="1400"/>
      <c r="G175" s="1398"/>
      <c r="H175" s="1398"/>
      <c r="I175" s="948"/>
      <c r="J175" s="1376"/>
      <c r="K175" s="1376"/>
      <c r="L175" s="1376"/>
      <c r="M175" s="150">
        <f t="shared" si="10"/>
        <v>0</v>
      </c>
      <c r="N175" s="151">
        <f t="shared" si="11"/>
        <v>0</v>
      </c>
      <c r="O175" s="152">
        <f>+IF(OR($R175=Parametres!$G$2,$R175=Parametres!$G$3),J175,D175)</f>
        <v>0</v>
      </c>
      <c r="P175" s="1085">
        <f>+IF(OR($R175=Parametres!$G$2,$R175=Parametres!$G$3),K175,E175)</f>
        <v>0</v>
      </c>
      <c r="Q175" s="152">
        <f>+IF(OR($R175=Parametres!$G$2,$R175=Parametres!$G$3),L175,F175)</f>
        <v>0</v>
      </c>
      <c r="R175" s="151">
        <f t="shared" si="12"/>
        <v>0</v>
      </c>
      <c r="S175" s="150">
        <f t="shared" si="13"/>
        <v>0</v>
      </c>
      <c r="T175" s="151">
        <f t="shared" si="14"/>
        <v>0</v>
      </c>
      <c r="U175" s="153" t="e">
        <f>+VLOOKUP($M175,Data_Validation!$A:$D,1,0)</f>
        <v>#N/A</v>
      </c>
      <c r="V175" s="153" t="e">
        <f>+VLOOKUP($M175,Data_Validation!$A:$D,3,0)</f>
        <v>#N/A</v>
      </c>
      <c r="W175" s="153" t="e">
        <f>+VLOOKUP($M175,Data_Validation!$A:$D,4,0)</f>
        <v>#N/A</v>
      </c>
      <c r="X175" s="153" t="e">
        <f>+VLOOKUP($M175,Data_Validation!$A:$E,5,0)</f>
        <v>#N/A</v>
      </c>
      <c r="Y175" s="153" t="e">
        <f>+VLOOKUP($M175,Data_Validation!$A:$F,6,0)</f>
        <v>#N/A</v>
      </c>
    </row>
    <row r="176" spans="2:25" ht="15.75" customHeight="1">
      <c r="B176" s="1398"/>
      <c r="C176" s="1401"/>
      <c r="D176" s="1400"/>
      <c r="E176" s="1400"/>
      <c r="F176" s="1400"/>
      <c r="G176" s="1398"/>
      <c r="H176" s="1398"/>
      <c r="I176" s="948"/>
      <c r="J176" s="1379"/>
      <c r="K176" s="1379"/>
      <c r="L176" s="1379"/>
      <c r="M176" s="150">
        <f t="shared" si="10"/>
        <v>0</v>
      </c>
      <c r="N176" s="151">
        <f t="shared" si="11"/>
        <v>0</v>
      </c>
      <c r="O176" s="152">
        <f>+IF(OR($R176=Parametres!$G$2,$R176=Parametres!$G$3),J176,D176)</f>
        <v>0</v>
      </c>
      <c r="P176" s="1085">
        <f>+IF(OR($R176=Parametres!$G$2,$R176=Parametres!$G$3),K176,E176)</f>
        <v>0</v>
      </c>
      <c r="Q176" s="152">
        <f>+IF(OR($R176=Parametres!$G$2,$R176=Parametres!$G$3),L176,F176)</f>
        <v>0</v>
      </c>
      <c r="R176" s="151">
        <f t="shared" si="12"/>
        <v>0</v>
      </c>
      <c r="S176" s="150">
        <f t="shared" si="13"/>
        <v>0</v>
      </c>
      <c r="T176" s="151">
        <f t="shared" si="14"/>
        <v>0</v>
      </c>
      <c r="U176" s="153" t="e">
        <f>+VLOOKUP($M176,Data_Validation!$A:$D,1,0)</f>
        <v>#N/A</v>
      </c>
      <c r="V176" s="153" t="e">
        <f>+VLOOKUP($M176,Data_Validation!$A:$D,3,0)</f>
        <v>#N/A</v>
      </c>
      <c r="W176" s="153" t="e">
        <f>+VLOOKUP($M176,Data_Validation!$A:$D,4,0)</f>
        <v>#N/A</v>
      </c>
      <c r="X176" s="153" t="e">
        <f>+VLOOKUP($M176,Data_Validation!$A:$E,5,0)</f>
        <v>#N/A</v>
      </c>
      <c r="Y176" s="153" t="e">
        <f>+VLOOKUP($M176,Data_Validation!$A:$F,6,0)</f>
        <v>#N/A</v>
      </c>
    </row>
    <row r="177" spans="2:25" ht="15" customHeight="1">
      <c r="B177" s="1398"/>
      <c r="C177" s="1398"/>
      <c r="D177" s="1399"/>
      <c r="E177" s="1399"/>
      <c r="F177" s="1399"/>
      <c r="G177" s="1398"/>
      <c r="H177" s="1398"/>
      <c r="I177" s="1399"/>
      <c r="J177" s="1400"/>
      <c r="K177" s="1400"/>
      <c r="L177" s="1400"/>
      <c r="M177" s="150">
        <f t="shared" si="10"/>
        <v>0</v>
      </c>
      <c r="N177" s="151">
        <f t="shared" si="11"/>
        <v>0</v>
      </c>
      <c r="O177" s="152">
        <f>+IF(OR($R177=Parametres!$G$2,$R177=Parametres!$G$3),J177,D177)</f>
        <v>0</v>
      </c>
      <c r="P177" s="1085">
        <f>+IF(OR($R177=Parametres!$G$2,$R177=Parametres!$G$3),K177,E177)</f>
        <v>0</v>
      </c>
      <c r="Q177" s="152">
        <f>+IF(OR($R177=Parametres!$G$2,$R177=Parametres!$G$3),L177,F177)</f>
        <v>0</v>
      </c>
      <c r="R177" s="151">
        <f t="shared" si="12"/>
        <v>0</v>
      </c>
      <c r="S177" s="150">
        <f t="shared" si="13"/>
        <v>0</v>
      </c>
      <c r="T177" s="151">
        <f t="shared" si="14"/>
        <v>0</v>
      </c>
      <c r="U177" s="153" t="e">
        <f>+VLOOKUP($M177,Data_Validation!$A:$D,1,0)</f>
        <v>#N/A</v>
      </c>
      <c r="V177" s="153" t="e">
        <f>+VLOOKUP($M177,Data_Validation!$A:$D,3,0)</f>
        <v>#N/A</v>
      </c>
      <c r="W177" s="153" t="e">
        <f>+VLOOKUP($M177,Data_Validation!$A:$D,4,0)</f>
        <v>#N/A</v>
      </c>
      <c r="X177" s="153" t="e">
        <f>+VLOOKUP($M177,Data_Validation!$A:$E,5,0)</f>
        <v>#N/A</v>
      </c>
      <c r="Y177" s="153" t="e">
        <f>+VLOOKUP($M177,Data_Validation!$A:$F,6,0)</f>
        <v>#N/A</v>
      </c>
    </row>
    <row r="178" spans="2:25" ht="15" customHeight="1">
      <c r="B178" s="1398"/>
      <c r="C178" s="1401"/>
      <c r="D178" s="1400"/>
      <c r="E178" s="1400"/>
      <c r="F178" s="1400"/>
      <c r="G178" s="1398"/>
      <c r="H178" s="1398"/>
      <c r="I178" s="1399"/>
      <c r="J178" s="1399"/>
      <c r="K178" s="1399"/>
      <c r="L178" s="1399"/>
      <c r="M178" s="150">
        <f t="shared" si="10"/>
        <v>0</v>
      </c>
      <c r="N178" s="573">
        <f t="shared" si="11"/>
        <v>0</v>
      </c>
      <c r="O178" s="152">
        <f>+IF(OR($R178=Parametres!$G$2,$R178=Parametres!$G$3),J178,D178)</f>
        <v>0</v>
      </c>
      <c r="P178" s="1083">
        <f>+IF(OR($R178=Parametres!$G$2,$R178=Parametres!$G$3),K178,E178)</f>
        <v>0</v>
      </c>
      <c r="Q178" s="575">
        <f>+IF(OR($R178=Parametres!$G$2,$R178=Parametres!$G$3),L178,F178)</f>
        <v>0</v>
      </c>
      <c r="R178" s="151">
        <f t="shared" si="12"/>
        <v>0</v>
      </c>
      <c r="S178" s="150">
        <f t="shared" si="13"/>
        <v>0</v>
      </c>
      <c r="T178" s="151">
        <f t="shared" si="14"/>
        <v>0</v>
      </c>
      <c r="U178" s="153" t="e">
        <f>+VLOOKUP($M178,Data_Validation!$A:$D,1,0)</f>
        <v>#N/A</v>
      </c>
      <c r="V178" s="153" t="e">
        <f>+VLOOKUP($M178,Data_Validation!$A:$D,3,0)</f>
        <v>#N/A</v>
      </c>
      <c r="W178" s="153" t="e">
        <f>+VLOOKUP($M178,Data_Validation!$A:$D,4,0)</f>
        <v>#N/A</v>
      </c>
      <c r="X178" s="153" t="e">
        <f>+VLOOKUP($M178,Data_Validation!$A:$E,5,0)</f>
        <v>#N/A</v>
      </c>
      <c r="Y178" s="153" t="e">
        <f>+VLOOKUP($M178,Data_Validation!$A:$F,6,0)</f>
        <v>#N/A</v>
      </c>
    </row>
    <row r="179" spans="2:25" ht="15" customHeight="1">
      <c r="B179" s="1398"/>
      <c r="C179" s="1398"/>
      <c r="D179" s="1399"/>
      <c r="E179" s="1399"/>
      <c r="F179" s="1399"/>
      <c r="G179" s="1398"/>
      <c r="H179" s="1398"/>
      <c r="I179" s="1399"/>
      <c r="J179" s="1400"/>
      <c r="K179" s="1400"/>
      <c r="L179" s="1400"/>
      <c r="M179" s="150">
        <f t="shared" si="10"/>
        <v>0</v>
      </c>
      <c r="N179" s="151">
        <f t="shared" si="11"/>
        <v>0</v>
      </c>
      <c r="O179" s="152">
        <f>+IF(OR($R179=Parametres!$G$2,$R179=Parametres!$G$3),J179,D179)</f>
        <v>0</v>
      </c>
      <c r="P179" s="1085">
        <f>+IF(OR($R179=Parametres!$G$2,$R179=Parametres!$G$3),K179,E179)</f>
        <v>0</v>
      </c>
      <c r="Q179" s="152">
        <f>+IF(OR($R179=Parametres!$G$2,$R179=Parametres!$G$3),L179,F179)</f>
        <v>0</v>
      </c>
      <c r="R179" s="151">
        <f t="shared" si="12"/>
        <v>0</v>
      </c>
      <c r="S179" s="150">
        <f t="shared" si="13"/>
        <v>0</v>
      </c>
      <c r="T179" s="151">
        <f t="shared" si="14"/>
        <v>0</v>
      </c>
      <c r="U179" s="153" t="e">
        <f>+VLOOKUP($M179,Data_Validation!$A:$D,1,0)</f>
        <v>#N/A</v>
      </c>
      <c r="V179" s="153" t="e">
        <f>+VLOOKUP($M179,Data_Validation!$A:$D,3,0)</f>
        <v>#N/A</v>
      </c>
      <c r="W179" s="153" t="e">
        <f>+VLOOKUP($M179,Data_Validation!$A:$D,4,0)</f>
        <v>#N/A</v>
      </c>
      <c r="X179" s="153" t="e">
        <f>+VLOOKUP($M179,Data_Validation!$A:$E,5,0)</f>
        <v>#N/A</v>
      </c>
      <c r="Y179" s="153" t="e">
        <f>+VLOOKUP($M179,Data_Validation!$A:$F,6,0)</f>
        <v>#N/A</v>
      </c>
    </row>
    <row r="180" spans="2:25" ht="15" customHeight="1">
      <c r="B180" s="1398"/>
      <c r="C180" s="1401"/>
      <c r="D180" s="1400"/>
      <c r="E180" s="1400"/>
      <c r="F180" s="1400"/>
      <c r="G180" s="1398"/>
      <c r="H180" s="1398"/>
      <c r="I180" s="1399"/>
      <c r="J180" s="1399"/>
      <c r="K180" s="1399"/>
      <c r="L180" s="1399"/>
      <c r="M180" s="150">
        <f t="shared" si="10"/>
        <v>0</v>
      </c>
      <c r="N180" s="151">
        <f t="shared" si="11"/>
        <v>0</v>
      </c>
      <c r="O180" s="152">
        <f>+IF(OR($R180=Parametres!$G$2,$R180=Parametres!$G$3),J180,D180)</f>
        <v>0</v>
      </c>
      <c r="P180" s="1085">
        <f>+IF(OR($R180=Parametres!$G$2,$R180=Parametres!$G$3),K180,E180)</f>
        <v>0</v>
      </c>
      <c r="Q180" s="152">
        <f>+IF(OR($R180=Parametres!$G$2,$R180=Parametres!$G$3),L180,F180)</f>
        <v>0</v>
      </c>
      <c r="R180" s="151">
        <f t="shared" si="12"/>
        <v>0</v>
      </c>
      <c r="S180" s="150">
        <f t="shared" si="13"/>
        <v>0</v>
      </c>
      <c r="T180" s="151">
        <f t="shared" si="14"/>
        <v>0</v>
      </c>
      <c r="U180" s="153" t="e">
        <f>+VLOOKUP($M180,Data_Validation!$A:$D,1,0)</f>
        <v>#N/A</v>
      </c>
      <c r="V180" s="153" t="e">
        <f>+VLOOKUP($M180,Data_Validation!$A:$D,3,0)</f>
        <v>#N/A</v>
      </c>
      <c r="W180" s="153" t="e">
        <f>+VLOOKUP($M180,Data_Validation!$A:$D,4,0)</f>
        <v>#N/A</v>
      </c>
      <c r="X180" s="153" t="e">
        <f>+VLOOKUP($M180,Data_Validation!$A:$E,5,0)</f>
        <v>#N/A</v>
      </c>
      <c r="Y180" s="153" t="e">
        <f>+VLOOKUP($M180,Data_Validation!$A:$F,6,0)</f>
        <v>#N/A</v>
      </c>
    </row>
    <row r="181" spans="2:25" ht="15.75" customHeight="1">
      <c r="B181" s="1398"/>
      <c r="C181" s="1398"/>
      <c r="D181" s="1399"/>
      <c r="E181" s="1399"/>
      <c r="F181" s="1399"/>
      <c r="G181" s="1398"/>
      <c r="H181" s="1398"/>
      <c r="I181" s="1399"/>
      <c r="J181" s="1400"/>
      <c r="K181" s="1400"/>
      <c r="L181" s="1400"/>
      <c r="M181" s="150">
        <f t="shared" si="10"/>
        <v>0</v>
      </c>
      <c r="N181" s="151">
        <f t="shared" si="11"/>
        <v>0</v>
      </c>
      <c r="O181" s="152">
        <f>+IF(OR($R181=Parametres!$G$2,$R181=Parametres!$G$3),J181,D181)</f>
        <v>0</v>
      </c>
      <c r="P181" s="1085">
        <f>+IF(OR($R181=Parametres!$G$2,$R181=Parametres!$G$3),K181,E181)</f>
        <v>0</v>
      </c>
      <c r="Q181" s="152">
        <f>+IF(OR($R181=Parametres!$G$2,$R181=Parametres!$G$3),L181,F181)</f>
        <v>0</v>
      </c>
      <c r="R181" s="151">
        <f t="shared" si="12"/>
        <v>0</v>
      </c>
      <c r="S181" s="150">
        <f t="shared" si="13"/>
        <v>0</v>
      </c>
      <c r="T181" s="151">
        <f t="shared" si="14"/>
        <v>0</v>
      </c>
      <c r="U181" s="153" t="e">
        <f>+VLOOKUP($M181,Data_Validation!$A:$D,1,0)</f>
        <v>#N/A</v>
      </c>
      <c r="V181" s="153" t="e">
        <f>+VLOOKUP($M181,Data_Validation!$A:$D,3,0)</f>
        <v>#N/A</v>
      </c>
      <c r="W181" s="153" t="e">
        <f>+VLOOKUP($M181,Data_Validation!$A:$D,4,0)</f>
        <v>#N/A</v>
      </c>
      <c r="X181" s="153" t="e">
        <f>+VLOOKUP($M181,Data_Validation!$A:$E,5,0)</f>
        <v>#N/A</v>
      </c>
      <c r="Y181" s="153" t="e">
        <f>+VLOOKUP($M181,Data_Validation!$A:$F,6,0)</f>
        <v>#N/A</v>
      </c>
    </row>
    <row r="182" spans="2:25" ht="15.75" customHeight="1">
      <c r="B182" s="1398"/>
      <c r="C182" s="1401"/>
      <c r="D182" s="1400"/>
      <c r="E182" s="1400"/>
      <c r="F182" s="1400"/>
      <c r="G182" s="1398"/>
      <c r="H182" s="1398"/>
      <c r="I182" s="1399"/>
      <c r="J182" s="1399"/>
      <c r="K182" s="1399"/>
      <c r="L182" s="1399"/>
      <c r="M182" s="150">
        <f t="shared" si="10"/>
        <v>0</v>
      </c>
      <c r="N182" s="151">
        <f t="shared" si="11"/>
        <v>0</v>
      </c>
      <c r="O182" s="152">
        <f>+IF(OR($R182=Parametres!$G$2,$R182=Parametres!$G$3),J182,D182)</f>
        <v>0</v>
      </c>
      <c r="P182" s="1083">
        <f>+IF(OR($R182=Parametres!$G$2,$R182=Parametres!$G$3),K182,E182)</f>
        <v>0</v>
      </c>
      <c r="Q182" s="152">
        <f>+IF(OR($R182=Parametres!$G$2,$R182=Parametres!$G$3),L182,F182)</f>
        <v>0</v>
      </c>
      <c r="R182" s="151">
        <f t="shared" si="12"/>
        <v>0</v>
      </c>
      <c r="S182" s="150">
        <f t="shared" si="13"/>
        <v>0</v>
      </c>
      <c r="T182" s="151">
        <f t="shared" si="14"/>
        <v>0</v>
      </c>
      <c r="U182" s="153" t="e">
        <f>+VLOOKUP($M182,Data_Validation!$A:$D,1,0)</f>
        <v>#N/A</v>
      </c>
      <c r="V182" s="153" t="e">
        <f>+VLOOKUP($M182,Data_Validation!$A:$D,3,0)</f>
        <v>#N/A</v>
      </c>
      <c r="W182" s="153" t="e">
        <f>+VLOOKUP($M182,Data_Validation!$A:$D,4,0)</f>
        <v>#N/A</v>
      </c>
      <c r="X182" s="153" t="e">
        <f>+VLOOKUP($M182,Data_Validation!$A:$E,5,0)</f>
        <v>#N/A</v>
      </c>
      <c r="Y182" s="153" t="e">
        <f>+VLOOKUP($M182,Data_Validation!$A:$F,6,0)</f>
        <v>#N/A</v>
      </c>
    </row>
    <row r="183" spans="2:25" ht="15.75" customHeight="1">
      <c r="B183" s="1398"/>
      <c r="C183" s="1398"/>
      <c r="D183" s="1399"/>
      <c r="E183" s="1399"/>
      <c r="F183" s="1399"/>
      <c r="G183" s="1398"/>
      <c r="H183" s="1398"/>
      <c r="I183" s="1399"/>
      <c r="J183" s="1400"/>
      <c r="K183" s="1400"/>
      <c r="L183" s="1400"/>
      <c r="M183" s="150">
        <f t="shared" si="10"/>
        <v>0</v>
      </c>
      <c r="N183" s="151">
        <f t="shared" si="11"/>
        <v>0</v>
      </c>
      <c r="O183" s="152">
        <f>+IF(OR($R183=Parametres!$G$2,$R183=Parametres!$G$3),J183,D183)</f>
        <v>0</v>
      </c>
      <c r="P183" s="1085">
        <f>+IF(OR($R183=Parametres!$G$2,$R183=Parametres!$G$3),K183,E183)</f>
        <v>0</v>
      </c>
      <c r="Q183" s="152">
        <f>+IF(OR($R183=Parametres!$G$2,$R183=Parametres!$G$3),L183,F183)</f>
        <v>0</v>
      </c>
      <c r="R183" s="151">
        <f t="shared" si="12"/>
        <v>0</v>
      </c>
      <c r="S183" s="150">
        <f t="shared" si="13"/>
        <v>0</v>
      </c>
      <c r="T183" s="151">
        <f t="shared" si="14"/>
        <v>0</v>
      </c>
      <c r="U183" s="153" t="e">
        <f>+VLOOKUP($M183,Data_Validation!$A:$D,1,0)</f>
        <v>#N/A</v>
      </c>
      <c r="V183" s="153" t="e">
        <f>+VLOOKUP($M183,Data_Validation!$A:$D,3,0)</f>
        <v>#N/A</v>
      </c>
      <c r="W183" s="153" t="e">
        <f>+VLOOKUP($M183,Data_Validation!$A:$D,4,0)</f>
        <v>#N/A</v>
      </c>
      <c r="X183" s="153" t="e">
        <f>+VLOOKUP($M183,Data_Validation!$A:$E,5,0)</f>
        <v>#N/A</v>
      </c>
      <c r="Y183" s="153" t="e">
        <f>+VLOOKUP($M183,Data_Validation!$A:$F,6,0)</f>
        <v>#N/A</v>
      </c>
    </row>
    <row r="184" spans="2:25" ht="15.75" customHeight="1">
      <c r="B184" s="1398"/>
      <c r="C184" s="1401"/>
      <c r="D184" s="1400"/>
      <c r="E184" s="1400"/>
      <c r="F184" s="1400"/>
      <c r="G184" s="1398"/>
      <c r="H184" s="1398"/>
      <c r="I184" s="1399"/>
      <c r="J184" s="1399"/>
      <c r="K184" s="1399"/>
      <c r="L184" s="1399"/>
      <c r="M184" s="150">
        <f t="shared" si="10"/>
        <v>0</v>
      </c>
      <c r="N184" s="151">
        <f t="shared" si="11"/>
        <v>0</v>
      </c>
      <c r="O184" s="152">
        <f>+IF(OR($R184=Parametres!$G$2,$R184=Parametres!$G$3),J184,D184)</f>
        <v>0</v>
      </c>
      <c r="P184" s="1083">
        <f>+IF(OR($R184=Parametres!$G$2,$R184=Parametres!$G$3),K184,E184)</f>
        <v>0</v>
      </c>
      <c r="Q184" s="152">
        <f>+IF(OR($R184=Parametres!$G$2,$R184=Parametres!$G$3),L184,F184)</f>
        <v>0</v>
      </c>
      <c r="R184" s="151">
        <f t="shared" si="12"/>
        <v>0</v>
      </c>
      <c r="S184" s="150">
        <f t="shared" si="13"/>
        <v>0</v>
      </c>
      <c r="T184" s="151">
        <f t="shared" si="14"/>
        <v>0</v>
      </c>
      <c r="U184" s="153" t="e">
        <f>+VLOOKUP($M184,Data_Validation!$A:$D,1,0)</f>
        <v>#N/A</v>
      </c>
      <c r="V184" s="153" t="e">
        <f>+VLOOKUP($M184,Data_Validation!$A:$D,3,0)</f>
        <v>#N/A</v>
      </c>
      <c r="W184" s="153" t="e">
        <f>+VLOOKUP($M184,Data_Validation!$A:$D,4,0)</f>
        <v>#N/A</v>
      </c>
      <c r="X184" s="153" t="e">
        <f>+VLOOKUP($M184,Data_Validation!$A:$E,5,0)</f>
        <v>#N/A</v>
      </c>
      <c r="Y184" s="153" t="e">
        <f>+VLOOKUP($M184,Data_Validation!$A:$F,6,0)</f>
        <v>#N/A</v>
      </c>
    </row>
    <row r="185" spans="2:25" ht="15.75" customHeight="1">
      <c r="B185" s="1398"/>
      <c r="C185" s="1398"/>
      <c r="D185" s="1399"/>
      <c r="E185" s="1399"/>
      <c r="F185" s="1399"/>
      <c r="G185" s="1398"/>
      <c r="H185" s="1398"/>
      <c r="I185" s="1399"/>
      <c r="J185" s="1400"/>
      <c r="K185" s="1400"/>
      <c r="L185" s="1400"/>
      <c r="M185" s="150">
        <f t="shared" si="10"/>
        <v>0</v>
      </c>
      <c r="N185" s="151">
        <f t="shared" si="11"/>
        <v>0</v>
      </c>
      <c r="O185" s="152">
        <f>+IF(OR($R185=Parametres!$G$2,$R185=Parametres!$G$3),J185,D185)</f>
        <v>0</v>
      </c>
      <c r="P185" s="1085">
        <f>+IF(OR($R185=Parametres!$G$2,$R185=Parametres!$G$3),K185,E185)</f>
        <v>0</v>
      </c>
      <c r="Q185" s="152">
        <f>+IF(OR($R185=Parametres!$G$2,$R185=Parametres!$G$3),L185,F185)</f>
        <v>0</v>
      </c>
      <c r="R185" s="151">
        <f t="shared" si="12"/>
        <v>0</v>
      </c>
      <c r="S185" s="150">
        <f t="shared" si="13"/>
        <v>0</v>
      </c>
      <c r="T185" s="151">
        <f t="shared" si="14"/>
        <v>0</v>
      </c>
      <c r="U185" s="153" t="e">
        <f>+VLOOKUP($M185,Data_Validation!$A:$D,1,0)</f>
        <v>#N/A</v>
      </c>
      <c r="V185" s="153" t="e">
        <f>+VLOOKUP($M185,Data_Validation!$A:$D,3,0)</f>
        <v>#N/A</v>
      </c>
      <c r="W185" s="153" t="e">
        <f>+VLOOKUP($M185,Data_Validation!$A:$D,4,0)</f>
        <v>#N/A</v>
      </c>
      <c r="X185" s="153" t="e">
        <f>+VLOOKUP($M185,Data_Validation!$A:$E,5,0)</f>
        <v>#N/A</v>
      </c>
      <c r="Y185" s="153" t="e">
        <f>+VLOOKUP($M185,Data_Validation!$A:$F,6,0)</f>
        <v>#N/A</v>
      </c>
    </row>
    <row r="186" spans="2:25" ht="15.75" customHeight="1">
      <c r="B186" s="1398"/>
      <c r="C186" s="1401"/>
      <c r="D186" s="1400"/>
      <c r="E186" s="1400"/>
      <c r="F186" s="1400"/>
      <c r="G186" s="1398"/>
      <c r="H186" s="1398"/>
      <c r="I186" s="1399"/>
      <c r="J186" s="1399"/>
      <c r="K186" s="1399"/>
      <c r="L186" s="1399"/>
      <c r="M186" s="150">
        <f t="shared" si="10"/>
        <v>0</v>
      </c>
      <c r="N186" s="151">
        <f t="shared" si="11"/>
        <v>0</v>
      </c>
      <c r="O186" s="152">
        <f>+IF(OR($R186=Parametres!$G$2,$R186=Parametres!$G$3),J186,D186)</f>
        <v>0</v>
      </c>
      <c r="P186" s="1083">
        <f>+IF(OR($R186=Parametres!$G$2,$R186=Parametres!$G$3),K186,E186)</f>
        <v>0</v>
      </c>
      <c r="Q186" s="152">
        <f>+IF(OR($R186=Parametres!$G$2,$R186=Parametres!$G$3),L186,F186)</f>
        <v>0</v>
      </c>
      <c r="R186" s="151">
        <f t="shared" si="12"/>
        <v>0</v>
      </c>
      <c r="S186" s="150">
        <f t="shared" si="13"/>
        <v>0</v>
      </c>
      <c r="T186" s="151">
        <f t="shared" si="14"/>
        <v>0</v>
      </c>
      <c r="U186" s="153" t="e">
        <f>+VLOOKUP($M186,Data_Validation!$A:$D,1,0)</f>
        <v>#N/A</v>
      </c>
      <c r="V186" s="153" t="e">
        <f>+VLOOKUP($M186,Data_Validation!$A:$D,3,0)</f>
        <v>#N/A</v>
      </c>
      <c r="W186" s="153" t="e">
        <f>+VLOOKUP($M186,Data_Validation!$A:$D,4,0)</f>
        <v>#N/A</v>
      </c>
      <c r="X186" s="153" t="e">
        <f>+VLOOKUP($M186,Data_Validation!$A:$E,5,0)</f>
        <v>#N/A</v>
      </c>
      <c r="Y186" s="153" t="e">
        <f>+VLOOKUP($M186,Data_Validation!$A:$F,6,0)</f>
        <v>#N/A</v>
      </c>
    </row>
    <row r="187" spans="2:25" ht="15" customHeight="1">
      <c r="B187" s="1398"/>
      <c r="C187" s="1398"/>
      <c r="D187" s="1399"/>
      <c r="E187" s="1399"/>
      <c r="F187" s="1399"/>
      <c r="G187" s="1398"/>
      <c r="H187" s="1398"/>
      <c r="I187" s="1399"/>
      <c r="J187" s="1400"/>
      <c r="K187" s="1400"/>
      <c r="L187" s="1400"/>
      <c r="M187" s="150">
        <f t="shared" si="10"/>
        <v>0</v>
      </c>
      <c r="N187" s="151">
        <f t="shared" si="11"/>
        <v>0</v>
      </c>
      <c r="O187" s="152">
        <f>+IF(OR($R187=Parametres!$G$2,$R187=Parametres!$G$3),J187,D187)</f>
        <v>0</v>
      </c>
      <c r="P187" s="1085">
        <f>+IF(OR($R187=Parametres!$G$2,$R187=Parametres!$G$3),K187,E187)</f>
        <v>0</v>
      </c>
      <c r="Q187" s="152">
        <f>+IF(OR($R187=Parametres!$G$2,$R187=Parametres!$G$3),L187,F187)</f>
        <v>0</v>
      </c>
      <c r="R187" s="151">
        <f t="shared" si="12"/>
        <v>0</v>
      </c>
      <c r="S187" s="150">
        <f t="shared" si="13"/>
        <v>0</v>
      </c>
      <c r="T187" s="151">
        <f t="shared" si="14"/>
        <v>0</v>
      </c>
      <c r="U187" s="153" t="e">
        <f>+VLOOKUP($M187,Data_Validation!$A:$D,1,0)</f>
        <v>#N/A</v>
      </c>
      <c r="V187" s="153" t="e">
        <f>+VLOOKUP($M187,Data_Validation!$A:$D,3,0)</f>
        <v>#N/A</v>
      </c>
      <c r="W187" s="153" t="e">
        <f>+VLOOKUP($M187,Data_Validation!$A:$D,4,0)</f>
        <v>#N/A</v>
      </c>
      <c r="X187" s="153" t="e">
        <f>+VLOOKUP($M187,Data_Validation!$A:$E,5,0)</f>
        <v>#N/A</v>
      </c>
      <c r="Y187" s="153" t="e">
        <f>+VLOOKUP($M187,Data_Validation!$A:$F,6,0)</f>
        <v>#N/A</v>
      </c>
    </row>
    <row r="188" spans="2:25" ht="15" customHeight="1">
      <c r="B188" s="1398"/>
      <c r="C188" s="1401"/>
      <c r="D188" s="1400"/>
      <c r="E188" s="1400"/>
      <c r="F188" s="1400"/>
      <c r="G188" s="1398"/>
      <c r="H188" s="1398"/>
      <c r="I188" s="1399"/>
      <c r="J188" s="1399"/>
      <c r="K188" s="1399"/>
      <c r="L188" s="1399"/>
      <c r="M188" s="150">
        <f t="shared" si="10"/>
        <v>0</v>
      </c>
      <c r="N188" s="151">
        <f t="shared" si="11"/>
        <v>0</v>
      </c>
      <c r="O188" s="152">
        <f>+IF(OR($R188=Parametres!$G$2,$R188=Parametres!$G$3),J188,D188)</f>
        <v>0</v>
      </c>
      <c r="P188" s="1085">
        <f>+IF(OR($R188=Parametres!$G$2,$R188=Parametres!$G$3),K188,E188)</f>
        <v>0</v>
      </c>
      <c r="Q188" s="152">
        <f>+IF(OR($R188=Parametres!$G$2,$R188=Parametres!$G$3),L188,F188)</f>
        <v>0</v>
      </c>
      <c r="R188" s="151">
        <f t="shared" si="12"/>
        <v>0</v>
      </c>
      <c r="S188" s="150">
        <f t="shared" si="13"/>
        <v>0</v>
      </c>
      <c r="T188" s="151">
        <f t="shared" si="14"/>
        <v>0</v>
      </c>
      <c r="U188" s="153" t="e">
        <f>+VLOOKUP($M188,Data_Validation!$A:$D,1,0)</f>
        <v>#N/A</v>
      </c>
      <c r="V188" s="153" t="e">
        <f>+VLOOKUP($M188,Data_Validation!$A:$D,3,0)</f>
        <v>#N/A</v>
      </c>
      <c r="W188" s="153" t="e">
        <f>+VLOOKUP($M188,Data_Validation!$A:$D,4,0)</f>
        <v>#N/A</v>
      </c>
      <c r="X188" s="153" t="e">
        <f>+VLOOKUP($M188,Data_Validation!$A:$E,5,0)</f>
        <v>#N/A</v>
      </c>
      <c r="Y188" s="153" t="e">
        <f>+VLOOKUP($M188,Data_Validation!$A:$F,6,0)</f>
        <v>#N/A</v>
      </c>
    </row>
    <row r="189" spans="2:25" ht="15" customHeight="1">
      <c r="B189" s="1398"/>
      <c r="C189" s="1398"/>
      <c r="D189" s="1399"/>
      <c r="E189" s="1399"/>
      <c r="F189" s="1399"/>
      <c r="G189" s="1398"/>
      <c r="H189" s="1398"/>
      <c r="I189" s="1399"/>
      <c r="J189" s="1400"/>
      <c r="K189" s="1400"/>
      <c r="L189" s="1400"/>
      <c r="M189" s="150">
        <f t="shared" si="10"/>
        <v>0</v>
      </c>
      <c r="N189" s="151">
        <f t="shared" si="11"/>
        <v>0</v>
      </c>
      <c r="O189" s="152">
        <f>+IF(OR($R189=Parametres!$G$2,$R189=Parametres!$G$3),J189,D189)</f>
        <v>0</v>
      </c>
      <c r="P189" s="1085">
        <f>+IF(OR($R189=Parametres!$G$2,$R189=Parametres!$G$3),K189,E189)</f>
        <v>0</v>
      </c>
      <c r="Q189" s="152">
        <f>+IF(OR($R189=Parametres!$G$2,$R189=Parametres!$G$3),L189,F189)</f>
        <v>0</v>
      </c>
      <c r="R189" s="151">
        <f t="shared" si="12"/>
        <v>0</v>
      </c>
      <c r="S189" s="150">
        <f t="shared" si="13"/>
        <v>0</v>
      </c>
      <c r="T189" s="151">
        <f t="shared" si="14"/>
        <v>0</v>
      </c>
      <c r="U189" s="153" t="e">
        <f>+VLOOKUP($M189,Data_Validation!$A:$D,1,0)</f>
        <v>#N/A</v>
      </c>
      <c r="V189" s="153" t="e">
        <f>+VLOOKUP($M189,Data_Validation!$A:$D,3,0)</f>
        <v>#N/A</v>
      </c>
      <c r="W189" s="153" t="e">
        <f>+VLOOKUP($M189,Data_Validation!$A:$D,4,0)</f>
        <v>#N/A</v>
      </c>
      <c r="X189" s="153" t="e">
        <f>+VLOOKUP($M189,Data_Validation!$A:$E,5,0)</f>
        <v>#N/A</v>
      </c>
      <c r="Y189" s="153" t="e">
        <f>+VLOOKUP($M189,Data_Validation!$A:$F,6,0)</f>
        <v>#N/A</v>
      </c>
    </row>
    <row r="190" spans="2:25" ht="15" customHeight="1">
      <c r="B190" s="1398"/>
      <c r="C190" s="1401"/>
      <c r="D190" s="1400"/>
      <c r="E190" s="1400"/>
      <c r="F190" s="1400"/>
      <c r="G190" s="1398"/>
      <c r="H190" s="1398"/>
      <c r="I190" s="1399"/>
      <c r="J190" s="1399"/>
      <c r="K190" s="1399"/>
      <c r="L190" s="1399"/>
      <c r="M190" s="150">
        <f t="shared" si="10"/>
        <v>0</v>
      </c>
      <c r="N190" s="151">
        <f t="shared" si="11"/>
        <v>0</v>
      </c>
      <c r="O190" s="152">
        <f>+IF(OR($R190=Parametres!$G$2,$R190=Parametres!$G$3),J190,D190)</f>
        <v>0</v>
      </c>
      <c r="P190" s="1085">
        <f>+IF(OR($R190=Parametres!$G$2,$R190=Parametres!$G$3),K190,E190)</f>
        <v>0</v>
      </c>
      <c r="Q190" s="152">
        <f>+IF(OR($R190=Parametres!$G$2,$R190=Parametres!$G$3),L190,F190)</f>
        <v>0</v>
      </c>
      <c r="R190" s="151">
        <f t="shared" si="12"/>
        <v>0</v>
      </c>
      <c r="S190" s="150">
        <f t="shared" si="13"/>
        <v>0</v>
      </c>
      <c r="T190" s="151">
        <f t="shared" si="14"/>
        <v>0</v>
      </c>
      <c r="U190" s="153" t="e">
        <f>+VLOOKUP($M190,Data_Validation!$A:$D,1,0)</f>
        <v>#N/A</v>
      </c>
      <c r="V190" s="153" t="e">
        <f>+VLOOKUP($M190,Data_Validation!$A:$D,3,0)</f>
        <v>#N/A</v>
      </c>
      <c r="W190" s="153" t="e">
        <f>+VLOOKUP($M190,Data_Validation!$A:$D,4,0)</f>
        <v>#N/A</v>
      </c>
      <c r="X190" s="153" t="e">
        <f>+VLOOKUP($M190,Data_Validation!$A:$E,5,0)</f>
        <v>#N/A</v>
      </c>
      <c r="Y190" s="153" t="e">
        <f>+VLOOKUP($M190,Data_Validation!$A:$F,6,0)</f>
        <v>#N/A</v>
      </c>
    </row>
    <row r="191" spans="2:25" ht="15" customHeight="1">
      <c r="B191" s="1398"/>
      <c r="C191" s="1398"/>
      <c r="D191" s="1399"/>
      <c r="E191" s="1399"/>
      <c r="F191" s="1399"/>
      <c r="G191" s="1398"/>
      <c r="H191" s="1398"/>
      <c r="I191" s="1399"/>
      <c r="J191" s="1400"/>
      <c r="K191" s="1400"/>
      <c r="L191" s="1400"/>
      <c r="M191" s="150">
        <f t="shared" si="10"/>
        <v>0</v>
      </c>
      <c r="N191" s="151">
        <f t="shared" si="11"/>
        <v>0</v>
      </c>
      <c r="O191" s="152">
        <f>+IF(OR($R191=Parametres!$G$2,$R191=Parametres!$G$3),J191,D191)</f>
        <v>0</v>
      </c>
      <c r="P191" s="1085">
        <f>+IF(OR($R191=Parametres!$G$2,$R191=Parametres!$G$3),K191,E191)</f>
        <v>0</v>
      </c>
      <c r="Q191" s="152">
        <f>+IF(OR($R191=Parametres!$G$2,$R191=Parametres!$G$3),L191,F191)</f>
        <v>0</v>
      </c>
      <c r="R191" s="151">
        <f t="shared" si="12"/>
        <v>0</v>
      </c>
      <c r="S191" s="150">
        <f t="shared" si="13"/>
        <v>0</v>
      </c>
      <c r="T191" s="151">
        <f t="shared" si="14"/>
        <v>0</v>
      </c>
      <c r="U191" s="153" t="e">
        <f>+VLOOKUP($M191,Data_Validation!$A:$D,1,0)</f>
        <v>#N/A</v>
      </c>
      <c r="V191" s="153" t="e">
        <f>+VLOOKUP($M191,Data_Validation!$A:$D,3,0)</f>
        <v>#N/A</v>
      </c>
      <c r="W191" s="153" t="e">
        <f>+VLOOKUP($M191,Data_Validation!$A:$D,4,0)</f>
        <v>#N/A</v>
      </c>
      <c r="X191" s="153" t="e">
        <f>+VLOOKUP($M191,Data_Validation!$A:$E,5,0)</f>
        <v>#N/A</v>
      </c>
      <c r="Y191" s="153" t="e">
        <f>+VLOOKUP($M191,Data_Validation!$A:$F,6,0)</f>
        <v>#N/A</v>
      </c>
    </row>
    <row r="192" spans="2:25" ht="15" customHeight="1">
      <c r="B192" s="1398"/>
      <c r="C192" s="1401"/>
      <c r="D192" s="1400"/>
      <c r="E192" s="1400"/>
      <c r="F192" s="1400"/>
      <c r="G192" s="1398"/>
      <c r="H192" s="1398"/>
      <c r="I192" s="1399"/>
      <c r="J192" s="1399"/>
      <c r="K192" s="1399"/>
      <c r="L192" s="1399"/>
      <c r="M192" s="150">
        <f t="shared" si="10"/>
        <v>0</v>
      </c>
      <c r="N192" s="151">
        <f t="shared" si="11"/>
        <v>0</v>
      </c>
      <c r="O192" s="152">
        <f>+IF(OR($R192=Parametres!$G$2,$R192=Parametres!$G$3),J192,D192)</f>
        <v>0</v>
      </c>
      <c r="P192" s="1085">
        <f>+IF(OR($R192=Parametres!$G$2,$R192=Parametres!$G$3),K192,E192)</f>
        <v>0</v>
      </c>
      <c r="Q192" s="152">
        <f>+IF(OR($R192=Parametres!$G$2,$R192=Parametres!$G$3),L192,F192)</f>
        <v>0</v>
      </c>
      <c r="R192" s="151">
        <f t="shared" si="12"/>
        <v>0</v>
      </c>
      <c r="S192" s="150">
        <f t="shared" si="13"/>
        <v>0</v>
      </c>
      <c r="T192" s="151">
        <f t="shared" si="14"/>
        <v>0</v>
      </c>
      <c r="U192" s="153" t="e">
        <f>+VLOOKUP($M192,Data_Validation!$A:$D,1,0)</f>
        <v>#N/A</v>
      </c>
      <c r="V192" s="153" t="e">
        <f>+VLOOKUP($M192,Data_Validation!$A:$D,3,0)</f>
        <v>#N/A</v>
      </c>
      <c r="W192" s="153" t="e">
        <f>+VLOOKUP($M192,Data_Validation!$A:$D,4,0)</f>
        <v>#N/A</v>
      </c>
      <c r="X192" s="153" t="e">
        <f>+VLOOKUP($M192,Data_Validation!$A:$E,5,0)</f>
        <v>#N/A</v>
      </c>
      <c r="Y192" s="153" t="e">
        <f>+VLOOKUP($M192,Data_Validation!$A:$F,6,0)</f>
        <v>#N/A</v>
      </c>
    </row>
    <row r="193" spans="2:25" ht="15" customHeight="1">
      <c r="B193" s="1398"/>
      <c r="C193" s="1398"/>
      <c r="D193" s="1399"/>
      <c r="E193" s="1399"/>
      <c r="F193" s="1399"/>
      <c r="G193" s="1398"/>
      <c r="H193" s="1398"/>
      <c r="I193" s="1399"/>
      <c r="J193" s="1400"/>
      <c r="K193" s="1400"/>
      <c r="L193" s="1400"/>
      <c r="M193" s="150">
        <f t="shared" si="10"/>
        <v>0</v>
      </c>
      <c r="N193" s="151">
        <f t="shared" si="11"/>
        <v>0</v>
      </c>
      <c r="O193" s="152">
        <f>+IF(OR($R193=Parametres!$G$2,$R193=Parametres!$G$3),J193,D193)</f>
        <v>0</v>
      </c>
      <c r="P193" s="1085">
        <f>+IF(OR($R193=Parametres!$G$2,$R193=Parametres!$G$3),K193,E193)</f>
        <v>0</v>
      </c>
      <c r="Q193" s="152">
        <f>+IF(OR($R193=Parametres!$G$2,$R193=Parametres!$G$3),L193,F193)</f>
        <v>0</v>
      </c>
      <c r="R193" s="151">
        <f t="shared" si="12"/>
        <v>0</v>
      </c>
      <c r="S193" s="150">
        <f t="shared" si="13"/>
        <v>0</v>
      </c>
      <c r="T193" s="151">
        <f t="shared" si="14"/>
        <v>0</v>
      </c>
      <c r="U193" s="153" t="e">
        <f>+VLOOKUP($M193,Data_Validation!$A:$D,1,0)</f>
        <v>#N/A</v>
      </c>
      <c r="V193" s="153" t="e">
        <f>+VLOOKUP($M193,Data_Validation!$A:$D,3,0)</f>
        <v>#N/A</v>
      </c>
      <c r="W193" s="153" t="e">
        <f>+VLOOKUP($M193,Data_Validation!$A:$D,4,0)</f>
        <v>#N/A</v>
      </c>
      <c r="X193" s="153" t="e">
        <f>+VLOOKUP($M193,Data_Validation!$A:$E,5,0)</f>
        <v>#N/A</v>
      </c>
      <c r="Y193" s="153" t="e">
        <f>+VLOOKUP($M193,Data_Validation!$A:$F,6,0)</f>
        <v>#N/A</v>
      </c>
    </row>
    <row r="194" spans="2:25" ht="15.75" customHeight="1">
      <c r="B194" s="1398"/>
      <c r="C194" s="1401"/>
      <c r="D194" s="1400"/>
      <c r="E194" s="1400"/>
      <c r="F194" s="1400"/>
      <c r="G194" s="1398"/>
      <c r="H194" s="1398"/>
      <c r="I194" s="1399"/>
      <c r="J194" s="1399"/>
      <c r="K194" s="1399"/>
      <c r="L194" s="1399"/>
      <c r="M194" s="150">
        <f t="shared" ref="M194:M200" si="15">+C194</f>
        <v>0</v>
      </c>
      <c r="N194" s="151">
        <f t="shared" ref="N194:N200" si="16">+B194</f>
        <v>0</v>
      </c>
      <c r="O194" s="152">
        <f>+IF(OR($R194=Parametres!$G$2,$R194=Parametres!$G$3),J194,D194)</f>
        <v>0</v>
      </c>
      <c r="P194" s="1085">
        <f>+IF(OR($R194=Parametres!$G$2,$R194=Parametres!$G$3),K194,E194)</f>
        <v>0</v>
      </c>
      <c r="Q194" s="152">
        <f>+IF(OR($R194=Parametres!$G$2,$R194=Parametres!$G$3),L194,F194)</f>
        <v>0</v>
      </c>
      <c r="R194" s="151">
        <f t="shared" ref="R194:R200" si="17">+G194</f>
        <v>0</v>
      </c>
      <c r="S194" s="150">
        <f t="shared" ref="S194:S200" si="18">+H194</f>
        <v>0</v>
      </c>
      <c r="T194" s="151">
        <f t="shared" ref="T194:T200" si="19">+I194</f>
        <v>0</v>
      </c>
      <c r="U194" s="153" t="e">
        <f>+VLOOKUP($M194,Data_Validation!$A:$D,1,0)</f>
        <v>#N/A</v>
      </c>
      <c r="V194" s="153" t="e">
        <f>+VLOOKUP($M194,Data_Validation!$A:$D,3,0)</f>
        <v>#N/A</v>
      </c>
      <c r="W194" s="153" t="e">
        <f>+VLOOKUP($M194,Data_Validation!$A:$D,4,0)</f>
        <v>#N/A</v>
      </c>
      <c r="X194" s="153" t="e">
        <f>+VLOOKUP($M194,Data_Validation!$A:$E,5,0)</f>
        <v>#N/A</v>
      </c>
      <c r="Y194" s="153" t="e">
        <f>+VLOOKUP($M194,Data_Validation!$A:$F,6,0)</f>
        <v>#N/A</v>
      </c>
    </row>
    <row r="195" spans="2:25" ht="15" customHeight="1">
      <c r="B195" s="1398"/>
      <c r="C195" s="1398"/>
      <c r="D195" s="1399"/>
      <c r="E195" s="1399"/>
      <c r="F195" s="1399"/>
      <c r="G195" s="1398"/>
      <c r="H195" s="1398"/>
      <c r="I195" s="1399"/>
      <c r="J195" s="1400"/>
      <c r="K195" s="1400"/>
      <c r="L195" s="1400"/>
      <c r="M195" s="150">
        <f t="shared" si="15"/>
        <v>0</v>
      </c>
      <c r="N195" s="151">
        <f t="shared" si="16"/>
        <v>0</v>
      </c>
      <c r="O195" s="152">
        <f>+IF(OR($R195=Parametres!$G$2,$R195=Parametres!$G$3),J195,D195)</f>
        <v>0</v>
      </c>
      <c r="P195" s="1085">
        <f>+IF(OR($R195=Parametres!$G$2,$R195=Parametres!$G$3),K195,E195)</f>
        <v>0</v>
      </c>
      <c r="Q195" s="152">
        <f>+IF(OR($R195=Parametres!$G$2,$R195=Parametres!$G$3),L195,F195)</f>
        <v>0</v>
      </c>
      <c r="R195" s="151">
        <f t="shared" si="17"/>
        <v>0</v>
      </c>
      <c r="S195" s="150">
        <f t="shared" si="18"/>
        <v>0</v>
      </c>
      <c r="T195" s="151">
        <f t="shared" si="19"/>
        <v>0</v>
      </c>
      <c r="U195" s="153" t="e">
        <f>+VLOOKUP($M195,Data_Validation!$A:$D,1,0)</f>
        <v>#N/A</v>
      </c>
      <c r="V195" s="153" t="e">
        <f>+VLOOKUP($M195,Data_Validation!$A:$D,3,0)</f>
        <v>#N/A</v>
      </c>
      <c r="W195" s="153" t="e">
        <f>+VLOOKUP($M195,Data_Validation!$A:$D,4,0)</f>
        <v>#N/A</v>
      </c>
      <c r="X195" s="153" t="e">
        <f>+VLOOKUP($M195,Data_Validation!$A:$E,5,0)</f>
        <v>#N/A</v>
      </c>
      <c r="Y195" s="153" t="e">
        <f>+VLOOKUP($M195,Data_Validation!$A:$F,6,0)</f>
        <v>#N/A</v>
      </c>
    </row>
    <row r="196" spans="2:25" ht="15" customHeight="1">
      <c r="B196" s="1398"/>
      <c r="C196" s="1401"/>
      <c r="D196" s="1400"/>
      <c r="E196" s="1400"/>
      <c r="F196" s="1400"/>
      <c r="G196" s="1398"/>
      <c r="H196" s="1398"/>
      <c r="I196" s="1399"/>
      <c r="J196" s="1399"/>
      <c r="K196" s="1399"/>
      <c r="L196" s="1399"/>
      <c r="M196" s="150">
        <f t="shared" si="15"/>
        <v>0</v>
      </c>
      <c r="N196" s="151">
        <f t="shared" si="16"/>
        <v>0</v>
      </c>
      <c r="O196" s="152">
        <f>+IF(OR($R196=Parametres!$G$2,$R196=Parametres!$G$3),J196,D196)</f>
        <v>0</v>
      </c>
      <c r="P196" s="1085">
        <f>+IF(OR($R196=Parametres!$G$2,$R196=Parametres!$G$3),K196,E196)</f>
        <v>0</v>
      </c>
      <c r="Q196" s="152">
        <f>+IF(OR($R196=Parametres!$G$2,$R196=Parametres!$G$3),L196,F196)</f>
        <v>0</v>
      </c>
      <c r="R196" s="151">
        <f t="shared" si="17"/>
        <v>0</v>
      </c>
      <c r="S196" s="150">
        <f t="shared" si="18"/>
        <v>0</v>
      </c>
      <c r="T196" s="151">
        <f t="shared" si="19"/>
        <v>0</v>
      </c>
      <c r="U196" s="153" t="e">
        <f>+VLOOKUP($M196,Data_Validation!$A:$D,1,0)</f>
        <v>#N/A</v>
      </c>
      <c r="V196" s="153" t="e">
        <f>+VLOOKUP($M196,Data_Validation!$A:$D,3,0)</f>
        <v>#N/A</v>
      </c>
      <c r="W196" s="153" t="e">
        <f>+VLOOKUP($M196,Data_Validation!$A:$D,4,0)</f>
        <v>#N/A</v>
      </c>
      <c r="X196" s="153" t="e">
        <f>+VLOOKUP($M196,Data_Validation!$A:$E,5,0)</f>
        <v>#N/A</v>
      </c>
      <c r="Y196" s="153" t="e">
        <f>+VLOOKUP($M196,Data_Validation!$A:$F,6,0)</f>
        <v>#N/A</v>
      </c>
    </row>
    <row r="197" spans="2:25" ht="15" customHeight="1">
      <c r="B197" s="1398"/>
      <c r="C197" s="1398"/>
      <c r="D197" s="1399"/>
      <c r="E197" s="1399"/>
      <c r="F197" s="1399"/>
      <c r="G197" s="1398"/>
      <c r="H197" s="1398"/>
      <c r="I197" s="1399"/>
      <c r="J197" s="1400"/>
      <c r="K197" s="1400"/>
      <c r="L197" s="1400"/>
      <c r="M197" s="150">
        <f t="shared" si="15"/>
        <v>0</v>
      </c>
      <c r="N197" s="151">
        <f t="shared" si="16"/>
        <v>0</v>
      </c>
      <c r="O197" s="152">
        <f>+IF(OR($R197=Parametres!$G$2,$R197=Parametres!$G$3),J197,D197)</f>
        <v>0</v>
      </c>
      <c r="P197" s="1083">
        <f>+IF(OR($R197=Parametres!$G$2,$R197=Parametres!$G$3),K197,E197)</f>
        <v>0</v>
      </c>
      <c r="Q197" s="152">
        <f>+IF(OR($R197=Parametres!$G$2,$R197=Parametres!$G$3),L197,F197)</f>
        <v>0</v>
      </c>
      <c r="R197" s="151">
        <f t="shared" si="17"/>
        <v>0</v>
      </c>
      <c r="S197" s="150">
        <f t="shared" si="18"/>
        <v>0</v>
      </c>
      <c r="T197" s="151">
        <f t="shared" si="19"/>
        <v>0</v>
      </c>
      <c r="U197" s="153" t="e">
        <f>+VLOOKUP($M197,Data_Validation!$A:$D,1,0)</f>
        <v>#N/A</v>
      </c>
      <c r="V197" s="153" t="e">
        <f>+VLOOKUP($M197,Data_Validation!$A:$D,3,0)</f>
        <v>#N/A</v>
      </c>
      <c r="W197" s="153" t="e">
        <f>+VLOOKUP($M197,Data_Validation!$A:$D,4,0)</f>
        <v>#N/A</v>
      </c>
      <c r="X197" s="153" t="e">
        <f>+VLOOKUP($M197,Data_Validation!$A:$E,5,0)</f>
        <v>#N/A</v>
      </c>
      <c r="Y197" s="153" t="e">
        <f>+VLOOKUP($M197,Data_Validation!$A:$F,6,0)</f>
        <v>#N/A</v>
      </c>
    </row>
    <row r="198" spans="2:25" ht="15" customHeight="1">
      <c r="B198" s="1398"/>
      <c r="C198" s="1401"/>
      <c r="D198" s="1400"/>
      <c r="E198" s="1400"/>
      <c r="F198" s="1400"/>
      <c r="G198" s="1398"/>
      <c r="H198" s="1398"/>
      <c r="I198" s="1399"/>
      <c r="J198" s="1399"/>
      <c r="K198" s="1399"/>
      <c r="L198" s="1399"/>
      <c r="M198" s="150">
        <f t="shared" si="15"/>
        <v>0</v>
      </c>
      <c r="N198" s="151">
        <f t="shared" si="16"/>
        <v>0</v>
      </c>
      <c r="O198" s="152">
        <f>+IF(OR($R198=Parametres!$G$2,$R198=Parametres!$G$3),J198,D198)</f>
        <v>0</v>
      </c>
      <c r="P198" s="1085">
        <f>+IF(OR($R198=Parametres!$G$2,$R198=Parametres!$G$3),K198,E198)</f>
        <v>0</v>
      </c>
      <c r="Q198" s="152">
        <f>+IF(OR($R198=Parametres!$G$2,$R198=Parametres!$G$3),L198,F198)</f>
        <v>0</v>
      </c>
      <c r="R198" s="151">
        <f t="shared" si="17"/>
        <v>0</v>
      </c>
      <c r="S198" s="150">
        <f t="shared" si="18"/>
        <v>0</v>
      </c>
      <c r="T198" s="151">
        <f t="shared" si="19"/>
        <v>0</v>
      </c>
      <c r="U198" s="153" t="e">
        <f>+VLOOKUP($M198,Data_Validation!$A:$D,1,0)</f>
        <v>#N/A</v>
      </c>
      <c r="V198" s="153" t="e">
        <f>+VLOOKUP($M198,Data_Validation!$A:$D,3,0)</f>
        <v>#N/A</v>
      </c>
      <c r="W198" s="153" t="e">
        <f>+VLOOKUP($M198,Data_Validation!$A:$D,4,0)</f>
        <v>#N/A</v>
      </c>
      <c r="X198" s="153" t="e">
        <f>+VLOOKUP($M198,Data_Validation!$A:$E,5,0)</f>
        <v>#N/A</v>
      </c>
      <c r="Y198" s="153" t="e">
        <f>+VLOOKUP($M198,Data_Validation!$A:$F,6,0)</f>
        <v>#N/A</v>
      </c>
    </row>
    <row r="199" spans="2:25" ht="15.75" customHeight="1">
      <c r="B199" s="1398"/>
      <c r="C199" s="1398"/>
      <c r="D199" s="1399"/>
      <c r="E199" s="1399"/>
      <c r="F199" s="1399"/>
      <c r="G199" s="1398"/>
      <c r="H199" s="1398"/>
      <c r="I199" s="1399"/>
      <c r="J199" s="1400"/>
      <c r="K199" s="1400"/>
      <c r="L199" s="1400"/>
      <c r="M199" s="150">
        <f t="shared" si="15"/>
        <v>0</v>
      </c>
      <c r="N199" s="151">
        <f t="shared" si="16"/>
        <v>0</v>
      </c>
      <c r="O199" s="152">
        <f>+IF(OR($R199=Parametres!$G$2,$R199=Parametres!$G$3),J199,D199)</f>
        <v>0</v>
      </c>
      <c r="P199" s="1085">
        <f>+IF(OR($R199=Parametres!$G$2,$R199=Parametres!$G$3),K199,E199)</f>
        <v>0</v>
      </c>
      <c r="Q199" s="152">
        <f>+IF(OR($R199=Parametres!$G$2,$R199=Parametres!$G$3),L199,F199)</f>
        <v>0</v>
      </c>
      <c r="R199" s="151">
        <f t="shared" si="17"/>
        <v>0</v>
      </c>
      <c r="S199" s="150">
        <f t="shared" si="18"/>
        <v>0</v>
      </c>
      <c r="T199" s="151">
        <f t="shared" si="19"/>
        <v>0</v>
      </c>
      <c r="U199" s="153" t="e">
        <f>+VLOOKUP($M199,Data_Validation!$A:$D,1,0)</f>
        <v>#N/A</v>
      </c>
      <c r="V199" s="153" t="e">
        <f>+VLOOKUP($M199,Data_Validation!$A:$D,3,0)</f>
        <v>#N/A</v>
      </c>
      <c r="W199" s="153" t="e">
        <f>+VLOOKUP($M199,Data_Validation!$A:$D,4,0)</f>
        <v>#N/A</v>
      </c>
      <c r="X199" s="153" t="e">
        <f>+VLOOKUP($M199,Data_Validation!$A:$E,5,0)</f>
        <v>#N/A</v>
      </c>
      <c r="Y199" s="153" t="e">
        <f>+VLOOKUP($M199,Data_Validation!$A:$F,6,0)</f>
        <v>#N/A</v>
      </c>
    </row>
    <row r="200" spans="2:25" ht="15" customHeight="1">
      <c r="B200" s="1398"/>
      <c r="C200" s="1401"/>
      <c r="D200" s="1400"/>
      <c r="E200" s="1400"/>
      <c r="F200" s="1400"/>
      <c r="G200" s="1398"/>
      <c r="H200" s="1398"/>
      <c r="I200" s="1399"/>
      <c r="J200" s="1399"/>
      <c r="K200" s="1399"/>
      <c r="L200" s="1399"/>
      <c r="M200" s="150">
        <f t="shared" si="15"/>
        <v>0</v>
      </c>
      <c r="N200" s="151">
        <f t="shared" si="16"/>
        <v>0</v>
      </c>
      <c r="O200" s="152">
        <f>+IF(OR($R200=Parametres!$G$2,$R200=Parametres!$G$3),J200,D200)</f>
        <v>0</v>
      </c>
      <c r="P200" s="1085">
        <f>+IF(OR($R200=Parametres!$G$2,$R200=Parametres!$G$3),K200,E200)</f>
        <v>0</v>
      </c>
      <c r="Q200" s="152">
        <f>+IF(OR($R200=Parametres!$G$2,$R200=Parametres!$G$3),L200,F200)</f>
        <v>0</v>
      </c>
      <c r="R200" s="151">
        <f t="shared" si="17"/>
        <v>0</v>
      </c>
      <c r="S200" s="150">
        <f t="shared" si="18"/>
        <v>0</v>
      </c>
      <c r="T200" s="151">
        <f t="shared" si="19"/>
        <v>0</v>
      </c>
      <c r="U200" s="153" t="e">
        <f>+VLOOKUP($M200,Data_Validation!$A:$D,1,0)</f>
        <v>#N/A</v>
      </c>
      <c r="V200" s="153" t="e">
        <f>+VLOOKUP($M200,Data_Validation!$A:$D,3,0)</f>
        <v>#N/A</v>
      </c>
      <c r="W200" s="153" t="e">
        <f>+VLOOKUP($M200,Data_Validation!$A:$D,4,0)</f>
        <v>#N/A</v>
      </c>
      <c r="X200" s="153" t="e">
        <f>+VLOOKUP($M200,Data_Validation!$A:$E,5,0)</f>
        <v>#N/A</v>
      </c>
      <c r="Y200" s="153" t="e">
        <f>+VLOOKUP($M200,Data_Validation!$A:$F,6,0)</f>
        <v>#N/A</v>
      </c>
    </row>
    <row r="201" spans="2:25" ht="15" customHeight="1">
      <c r="B201" s="1398"/>
      <c r="C201" s="1398"/>
      <c r="D201" s="1399"/>
      <c r="E201" s="1399"/>
      <c r="F201" s="1399"/>
      <c r="G201" s="1398"/>
      <c r="H201" s="1398"/>
      <c r="I201" s="1399"/>
      <c r="J201" s="1400"/>
      <c r="K201" s="1400"/>
      <c r="L201" s="1400"/>
      <c r="M201" s="150">
        <f t="shared" ref="M201:M264" si="20">+C201</f>
        <v>0</v>
      </c>
      <c r="N201" s="151">
        <f t="shared" ref="N201:N264" si="21">+B201</f>
        <v>0</v>
      </c>
      <c r="O201" s="152">
        <f>+IF(OR($R201=Parametres!$G$2,$R201=Parametres!$G$3),J201,D201)</f>
        <v>0</v>
      </c>
      <c r="P201" s="1085">
        <f>+IF(OR($R201=Parametres!$G$2,$R201=Parametres!$G$3),K201,E201)</f>
        <v>0</v>
      </c>
      <c r="Q201" s="152">
        <f>+IF(OR($R201=Parametres!$G$2,$R201=Parametres!$G$3),L201,F201)</f>
        <v>0</v>
      </c>
      <c r="R201" s="151">
        <f t="shared" ref="R201:R264" si="22">+G201</f>
        <v>0</v>
      </c>
      <c r="S201" s="150">
        <f t="shared" ref="S201:S264" si="23">+H201</f>
        <v>0</v>
      </c>
      <c r="T201" s="151">
        <f t="shared" ref="T201:T264" si="24">+I201</f>
        <v>0</v>
      </c>
      <c r="U201" s="153" t="e">
        <f>+VLOOKUP($M201,Data_Validation!$A:$D,1,0)</f>
        <v>#N/A</v>
      </c>
      <c r="V201" s="153" t="e">
        <f>+VLOOKUP($M201,Data_Validation!$A:$D,3,0)</f>
        <v>#N/A</v>
      </c>
      <c r="W201" s="153" t="e">
        <f>+VLOOKUP($M201,Data_Validation!$A:$D,4,0)</f>
        <v>#N/A</v>
      </c>
      <c r="X201" s="153" t="e">
        <f>+VLOOKUP($M201,Data_Validation!$A:$E,5,0)</f>
        <v>#N/A</v>
      </c>
      <c r="Y201" s="153" t="e">
        <f>+VLOOKUP($M201,Data_Validation!$A:$F,6,0)</f>
        <v>#N/A</v>
      </c>
    </row>
    <row r="202" spans="2:25" ht="15" customHeight="1">
      <c r="B202" s="1398"/>
      <c r="C202" s="1401"/>
      <c r="D202" s="1400"/>
      <c r="E202" s="1400"/>
      <c r="F202" s="1400"/>
      <c r="G202" s="1398"/>
      <c r="H202" s="1398"/>
      <c r="I202" s="1399"/>
      <c r="J202" s="1399"/>
      <c r="K202" s="1399"/>
      <c r="L202" s="1399"/>
      <c r="M202" s="150">
        <f t="shared" si="20"/>
        <v>0</v>
      </c>
      <c r="N202" s="151">
        <f t="shared" si="21"/>
        <v>0</v>
      </c>
      <c r="O202" s="152">
        <f>+IF(OR($R202=Parametres!$G$2,$R202=Parametres!$G$3),J202,D202)</f>
        <v>0</v>
      </c>
      <c r="P202" s="1085">
        <f>+IF(OR($R202=Parametres!$G$2,$R202=Parametres!$G$3),K202,E202)</f>
        <v>0</v>
      </c>
      <c r="Q202" s="152">
        <f>+IF(OR($R202=Parametres!$G$2,$R202=Parametres!$G$3),L202,F202)</f>
        <v>0</v>
      </c>
      <c r="R202" s="151">
        <f t="shared" si="22"/>
        <v>0</v>
      </c>
      <c r="S202" s="150">
        <f t="shared" si="23"/>
        <v>0</v>
      </c>
      <c r="T202" s="151">
        <f t="shared" si="24"/>
        <v>0</v>
      </c>
      <c r="U202" s="153" t="e">
        <f>+VLOOKUP($M202,Data_Validation!$A:$D,1,0)</f>
        <v>#N/A</v>
      </c>
      <c r="V202" s="153" t="e">
        <f>+VLOOKUP($M202,Data_Validation!$A:$D,3,0)</f>
        <v>#N/A</v>
      </c>
      <c r="W202" s="153" t="e">
        <f>+VLOOKUP($M202,Data_Validation!$A:$D,4,0)</f>
        <v>#N/A</v>
      </c>
      <c r="X202" s="153" t="e">
        <f>+VLOOKUP($M202,Data_Validation!$A:$E,5,0)</f>
        <v>#N/A</v>
      </c>
      <c r="Y202" s="153" t="e">
        <f>+VLOOKUP($M202,Data_Validation!$A:$F,6,0)</f>
        <v>#N/A</v>
      </c>
    </row>
    <row r="203" spans="2:25" ht="15" customHeight="1">
      <c r="B203" s="1398"/>
      <c r="C203" s="1398"/>
      <c r="D203" s="1399"/>
      <c r="E203" s="1399"/>
      <c r="F203" s="1399"/>
      <c r="G203" s="1398"/>
      <c r="H203" s="1398"/>
      <c r="I203" s="1399"/>
      <c r="J203" s="1400"/>
      <c r="K203" s="1400"/>
      <c r="L203" s="1400"/>
      <c r="M203" s="150">
        <f t="shared" si="20"/>
        <v>0</v>
      </c>
      <c r="N203" s="151">
        <f t="shared" si="21"/>
        <v>0</v>
      </c>
      <c r="O203" s="152">
        <f>+IF(OR($R203=Parametres!$G$2,$R203=Parametres!$G$3),J203,D203)</f>
        <v>0</v>
      </c>
      <c r="P203" s="1085">
        <f>+IF(OR($R203=Parametres!$G$2,$R203=Parametres!$G$3),K203,E203)</f>
        <v>0</v>
      </c>
      <c r="Q203" s="152">
        <f>+IF(OR($R203=Parametres!$G$2,$R203=Parametres!$G$3),L203,F203)</f>
        <v>0</v>
      </c>
      <c r="R203" s="151">
        <f t="shared" si="22"/>
        <v>0</v>
      </c>
      <c r="S203" s="150">
        <f t="shared" si="23"/>
        <v>0</v>
      </c>
      <c r="T203" s="151">
        <f t="shared" si="24"/>
        <v>0</v>
      </c>
      <c r="U203" s="153" t="e">
        <f>+VLOOKUP($M203,Data_Validation!$A:$D,1,0)</f>
        <v>#N/A</v>
      </c>
      <c r="V203" s="153" t="e">
        <f>+VLOOKUP($M203,Data_Validation!$A:$D,3,0)</f>
        <v>#N/A</v>
      </c>
      <c r="W203" s="153" t="e">
        <f>+VLOOKUP($M203,Data_Validation!$A:$D,4,0)</f>
        <v>#N/A</v>
      </c>
      <c r="X203" s="153" t="e">
        <f>+VLOOKUP($M203,Data_Validation!$A:$E,5,0)</f>
        <v>#N/A</v>
      </c>
      <c r="Y203" s="153" t="e">
        <f>+VLOOKUP($M203,Data_Validation!$A:$F,6,0)</f>
        <v>#N/A</v>
      </c>
    </row>
    <row r="204" spans="2:25" ht="15" customHeight="1">
      <c r="B204" s="1398"/>
      <c r="C204" s="1401"/>
      <c r="D204" s="1400"/>
      <c r="E204" s="1400"/>
      <c r="F204" s="1400"/>
      <c r="G204" s="1398"/>
      <c r="H204" s="1398"/>
      <c r="I204" s="1399"/>
      <c r="J204" s="1399"/>
      <c r="K204" s="1399"/>
      <c r="L204" s="1399"/>
      <c r="M204" s="150">
        <f t="shared" si="20"/>
        <v>0</v>
      </c>
      <c r="N204" s="151">
        <f t="shared" si="21"/>
        <v>0</v>
      </c>
      <c r="O204" s="152">
        <f>+IF(OR($R204=Parametres!$G$2,$R204=Parametres!$G$3),J204,D204)</f>
        <v>0</v>
      </c>
      <c r="P204" s="1083">
        <f>+IF(OR($R204=Parametres!$G$2,$R204=Parametres!$G$3),K204,E204)</f>
        <v>0</v>
      </c>
      <c r="Q204" s="152">
        <f>+IF(OR($R204=Parametres!$G$2,$R204=Parametres!$G$3),L204,F204)</f>
        <v>0</v>
      </c>
      <c r="R204" s="151">
        <f t="shared" si="22"/>
        <v>0</v>
      </c>
      <c r="S204" s="150">
        <f t="shared" si="23"/>
        <v>0</v>
      </c>
      <c r="T204" s="151">
        <f t="shared" si="24"/>
        <v>0</v>
      </c>
      <c r="U204" s="153" t="e">
        <f>+VLOOKUP($M204,Data_Validation!$A:$D,1,0)</f>
        <v>#N/A</v>
      </c>
      <c r="V204" s="153" t="e">
        <f>+VLOOKUP($M204,Data_Validation!$A:$D,3,0)</f>
        <v>#N/A</v>
      </c>
      <c r="W204" s="153" t="e">
        <f>+VLOOKUP($M204,Data_Validation!$A:$D,4,0)</f>
        <v>#N/A</v>
      </c>
      <c r="X204" s="153" t="e">
        <f>+VLOOKUP($M204,Data_Validation!$A:$E,5,0)</f>
        <v>#N/A</v>
      </c>
      <c r="Y204" s="153" t="e">
        <f>+VLOOKUP($M204,Data_Validation!$A:$F,6,0)</f>
        <v>#N/A</v>
      </c>
    </row>
    <row r="205" spans="2:25" ht="15" customHeight="1">
      <c r="B205" s="1398"/>
      <c r="C205" s="1398"/>
      <c r="D205" s="1399"/>
      <c r="E205" s="1399"/>
      <c r="F205" s="1399"/>
      <c r="G205" s="1398"/>
      <c r="H205" s="1398"/>
      <c r="I205" s="1399"/>
      <c r="J205" s="1400"/>
      <c r="K205" s="1400"/>
      <c r="L205" s="1400"/>
      <c r="M205" s="150">
        <f t="shared" si="20"/>
        <v>0</v>
      </c>
      <c r="N205" s="151">
        <f t="shared" si="21"/>
        <v>0</v>
      </c>
      <c r="O205" s="152">
        <f>+IF(OR($R205=Parametres!$G$2,$R205=Parametres!$G$3),J205,D205)</f>
        <v>0</v>
      </c>
      <c r="P205" s="1085">
        <f>+IF(OR($R205=Parametres!$G$2,$R205=Parametres!$G$3),K205,E205)</f>
        <v>0</v>
      </c>
      <c r="Q205" s="152">
        <f>+IF(OR($R205=Parametres!$G$2,$R205=Parametres!$G$3),L205,F205)</f>
        <v>0</v>
      </c>
      <c r="R205" s="151">
        <f t="shared" si="22"/>
        <v>0</v>
      </c>
      <c r="S205" s="150">
        <f t="shared" si="23"/>
        <v>0</v>
      </c>
      <c r="T205" s="151">
        <f t="shared" si="24"/>
        <v>0</v>
      </c>
      <c r="U205" s="153" t="e">
        <f>+VLOOKUP($M205,Data_Validation!$A:$D,1,0)</f>
        <v>#N/A</v>
      </c>
      <c r="V205" s="153" t="e">
        <f>+VLOOKUP($M205,Data_Validation!$A:$D,3,0)</f>
        <v>#N/A</v>
      </c>
      <c r="W205" s="153" t="e">
        <f>+VLOOKUP($M205,Data_Validation!$A:$D,4,0)</f>
        <v>#N/A</v>
      </c>
      <c r="X205" s="153" t="e">
        <f>+VLOOKUP($M205,Data_Validation!$A:$E,5,0)</f>
        <v>#N/A</v>
      </c>
      <c r="Y205" s="153" t="e">
        <f>+VLOOKUP($M205,Data_Validation!$A:$F,6,0)</f>
        <v>#N/A</v>
      </c>
    </row>
    <row r="206" spans="2:25" ht="15.75" customHeight="1">
      <c r="B206" s="1398"/>
      <c r="C206" s="1401"/>
      <c r="D206" s="1400"/>
      <c r="E206" s="1400"/>
      <c r="F206" s="1400"/>
      <c r="G206" s="1398"/>
      <c r="H206" s="1398"/>
      <c r="I206" s="1399"/>
      <c r="J206" s="1399"/>
      <c r="K206" s="1399"/>
      <c r="L206" s="1399"/>
      <c r="M206" s="150">
        <f t="shared" si="20"/>
        <v>0</v>
      </c>
      <c r="N206" s="151">
        <f t="shared" si="21"/>
        <v>0</v>
      </c>
      <c r="O206" s="152">
        <f>+IF(OR($R206=Parametres!$G$2,$R206=Parametres!$G$3),J206,D206)</f>
        <v>0</v>
      </c>
      <c r="P206" s="1085">
        <f>+IF(OR($R206=Parametres!$G$2,$R206=Parametres!$G$3),K206,E206)</f>
        <v>0</v>
      </c>
      <c r="Q206" s="152">
        <f>+IF(OR($R206=Parametres!$G$2,$R206=Parametres!$G$3),L206,F206)</f>
        <v>0</v>
      </c>
      <c r="R206" s="151">
        <f t="shared" si="22"/>
        <v>0</v>
      </c>
      <c r="S206" s="150">
        <f t="shared" si="23"/>
        <v>0</v>
      </c>
      <c r="T206" s="151">
        <f t="shared" si="24"/>
        <v>0</v>
      </c>
      <c r="U206" s="153" t="e">
        <f>+VLOOKUP($M206,Data_Validation!$A:$D,1,0)</f>
        <v>#N/A</v>
      </c>
      <c r="V206" s="153" t="e">
        <f>+VLOOKUP($M206,Data_Validation!$A:$D,3,0)</f>
        <v>#N/A</v>
      </c>
      <c r="W206" s="153" t="e">
        <f>+VLOOKUP($M206,Data_Validation!$A:$D,4,0)</f>
        <v>#N/A</v>
      </c>
      <c r="X206" s="153" t="e">
        <f>+VLOOKUP($M206,Data_Validation!$A:$E,5,0)</f>
        <v>#N/A</v>
      </c>
      <c r="Y206" s="153" t="e">
        <f>+VLOOKUP($M206,Data_Validation!$A:$F,6,0)</f>
        <v>#N/A</v>
      </c>
    </row>
    <row r="207" spans="2:25" ht="15" customHeight="1">
      <c r="B207" s="1398"/>
      <c r="C207" s="1401"/>
      <c r="D207" s="1400"/>
      <c r="E207" s="1400"/>
      <c r="F207" s="1400"/>
      <c r="G207" s="1398"/>
      <c r="H207" s="1398"/>
      <c r="I207" s="1399"/>
      <c r="J207" s="1399"/>
      <c r="K207" s="1399"/>
      <c r="L207" s="1399"/>
      <c r="M207" s="150">
        <f t="shared" si="20"/>
        <v>0</v>
      </c>
      <c r="N207" s="151">
        <f t="shared" si="21"/>
        <v>0</v>
      </c>
      <c r="O207" s="152">
        <f>+IF(OR($R207=Parametres!$G$2,$R207=Parametres!$G$3),J207,D207)</f>
        <v>0</v>
      </c>
      <c r="P207" s="1083">
        <f>+IF(OR($R207=Parametres!$G$2,$R207=Parametres!$G$3),K207,E207)</f>
        <v>0</v>
      </c>
      <c r="Q207" s="152">
        <f>+IF(OR($R207=Parametres!$G$2,$R207=Parametres!$G$3),L207,F207)</f>
        <v>0</v>
      </c>
      <c r="R207" s="151">
        <f t="shared" si="22"/>
        <v>0</v>
      </c>
      <c r="S207" s="150">
        <f t="shared" si="23"/>
        <v>0</v>
      </c>
      <c r="T207" s="151">
        <f t="shared" si="24"/>
        <v>0</v>
      </c>
      <c r="U207" s="153" t="e">
        <f>+VLOOKUP($M207,Data_Validation!$A:$D,1,0)</f>
        <v>#N/A</v>
      </c>
      <c r="V207" s="153" t="e">
        <f>+VLOOKUP($M207,Data_Validation!$A:$D,3,0)</f>
        <v>#N/A</v>
      </c>
      <c r="W207" s="153" t="e">
        <f>+VLOOKUP($M207,Data_Validation!$A:$D,4,0)</f>
        <v>#N/A</v>
      </c>
      <c r="X207" s="153" t="e">
        <f>+VLOOKUP($M207,Data_Validation!$A:$E,5,0)</f>
        <v>#N/A</v>
      </c>
      <c r="Y207" s="153" t="e">
        <f>+VLOOKUP($M207,Data_Validation!$A:$F,6,0)</f>
        <v>#N/A</v>
      </c>
    </row>
    <row r="208" spans="2:25" ht="15" customHeight="1">
      <c r="B208" s="1398"/>
      <c r="C208" s="1398"/>
      <c r="D208" s="1399"/>
      <c r="E208" s="1399"/>
      <c r="F208" s="1399"/>
      <c r="G208" s="1398"/>
      <c r="H208" s="1398"/>
      <c r="I208" s="1399"/>
      <c r="J208" s="1400"/>
      <c r="K208" s="1400"/>
      <c r="L208" s="1400"/>
      <c r="M208" s="150">
        <f t="shared" si="20"/>
        <v>0</v>
      </c>
      <c r="N208" s="151">
        <f t="shared" si="21"/>
        <v>0</v>
      </c>
      <c r="O208" s="152">
        <f>+IF(OR($R208=Parametres!$G$2,$R208=Parametres!$G$3),J208,D208)</f>
        <v>0</v>
      </c>
      <c r="P208" s="1085">
        <f>+IF(OR($R208=Parametres!$G$2,$R208=Parametres!$G$3),K208,E208)</f>
        <v>0</v>
      </c>
      <c r="Q208" s="152">
        <f>+IF(OR($R208=Parametres!$G$2,$R208=Parametres!$G$3),L208,F208)</f>
        <v>0</v>
      </c>
      <c r="R208" s="151">
        <f t="shared" si="22"/>
        <v>0</v>
      </c>
      <c r="S208" s="150">
        <f t="shared" si="23"/>
        <v>0</v>
      </c>
      <c r="T208" s="151">
        <f t="shared" si="24"/>
        <v>0</v>
      </c>
      <c r="U208" s="153" t="e">
        <f>+VLOOKUP($M208,Data_Validation!$A:$D,1,0)</f>
        <v>#N/A</v>
      </c>
      <c r="V208" s="153" t="e">
        <f>+VLOOKUP($M208,Data_Validation!$A:$D,3,0)</f>
        <v>#N/A</v>
      </c>
      <c r="W208" s="153" t="e">
        <f>+VLOOKUP($M208,Data_Validation!$A:$D,4,0)</f>
        <v>#N/A</v>
      </c>
      <c r="X208" s="153" t="e">
        <f>+VLOOKUP($M208,Data_Validation!$A:$E,5,0)</f>
        <v>#N/A</v>
      </c>
      <c r="Y208" s="153" t="e">
        <f>+VLOOKUP($M208,Data_Validation!$A:$F,6,0)</f>
        <v>#N/A</v>
      </c>
    </row>
    <row r="209" spans="2:25" ht="15" customHeight="1">
      <c r="B209" s="1398"/>
      <c r="C209" s="1401"/>
      <c r="D209" s="1400"/>
      <c r="E209" s="1400"/>
      <c r="F209" s="1400"/>
      <c r="G209" s="1398"/>
      <c r="H209" s="1398"/>
      <c r="I209" s="1399"/>
      <c r="J209" s="1399"/>
      <c r="K209" s="1399"/>
      <c r="L209" s="1399"/>
      <c r="M209" s="150">
        <f t="shared" si="20"/>
        <v>0</v>
      </c>
      <c r="N209" s="151">
        <f t="shared" si="21"/>
        <v>0</v>
      </c>
      <c r="O209" s="152">
        <f>+IF(OR($R209=Parametres!$G$2,$R209=Parametres!$G$3),J209,D209)</f>
        <v>0</v>
      </c>
      <c r="P209" s="1085">
        <f>+IF(OR($R209=Parametres!$G$2,$R209=Parametres!$G$3),K209,E209)</f>
        <v>0</v>
      </c>
      <c r="Q209" s="152">
        <f>+IF(OR($R209=Parametres!$G$2,$R209=Parametres!$G$3),L209,F209)</f>
        <v>0</v>
      </c>
      <c r="R209" s="151">
        <f t="shared" si="22"/>
        <v>0</v>
      </c>
      <c r="S209" s="150">
        <f t="shared" si="23"/>
        <v>0</v>
      </c>
      <c r="T209" s="151">
        <f t="shared" si="24"/>
        <v>0</v>
      </c>
      <c r="U209" s="153" t="e">
        <f>+VLOOKUP($M209,Data_Validation!$A:$D,1,0)</f>
        <v>#N/A</v>
      </c>
      <c r="V209" s="153" t="e">
        <f>+VLOOKUP($M209,Data_Validation!$A:$D,3,0)</f>
        <v>#N/A</v>
      </c>
      <c r="W209" s="153" t="e">
        <f>+VLOOKUP($M209,Data_Validation!$A:$D,4,0)</f>
        <v>#N/A</v>
      </c>
      <c r="X209" s="153" t="e">
        <f>+VLOOKUP($M209,Data_Validation!$A:$E,5,0)</f>
        <v>#N/A</v>
      </c>
      <c r="Y209" s="153" t="e">
        <f>+VLOOKUP($M209,Data_Validation!$A:$F,6,0)</f>
        <v>#N/A</v>
      </c>
    </row>
    <row r="210" spans="2:25" ht="15" customHeight="1">
      <c r="B210" s="1398"/>
      <c r="C210" s="1398"/>
      <c r="D210" s="1399"/>
      <c r="E210" s="1399"/>
      <c r="F210" s="1399"/>
      <c r="G210" s="1398"/>
      <c r="H210" s="1398"/>
      <c r="I210" s="1399"/>
      <c r="J210" s="1400"/>
      <c r="K210" s="1400"/>
      <c r="L210" s="1400"/>
      <c r="M210" s="150">
        <f t="shared" si="20"/>
        <v>0</v>
      </c>
      <c r="N210" s="151">
        <f t="shared" si="21"/>
        <v>0</v>
      </c>
      <c r="O210" s="152">
        <f>+IF(OR($R210=Parametres!$G$2,$R210=Parametres!$G$3),J210,D210)</f>
        <v>0</v>
      </c>
      <c r="P210" s="1083">
        <f>+IF(OR($R210=Parametres!$G$2,$R210=Parametres!$G$3),K210,E210)</f>
        <v>0</v>
      </c>
      <c r="Q210" s="152">
        <f>+IF(OR($R210=Parametres!$G$2,$R210=Parametres!$G$3),L210,F210)</f>
        <v>0</v>
      </c>
      <c r="R210" s="151">
        <f t="shared" si="22"/>
        <v>0</v>
      </c>
      <c r="S210" s="150">
        <f t="shared" si="23"/>
        <v>0</v>
      </c>
      <c r="T210" s="151">
        <f t="shared" si="24"/>
        <v>0</v>
      </c>
      <c r="U210" s="153" t="e">
        <f>+VLOOKUP($M210,Data_Validation!$A:$D,1,0)</f>
        <v>#N/A</v>
      </c>
      <c r="V210" s="153" t="e">
        <f>+VLOOKUP($M210,Data_Validation!$A:$D,3,0)</f>
        <v>#N/A</v>
      </c>
      <c r="W210" s="153" t="e">
        <f>+VLOOKUP($M210,Data_Validation!$A:$D,4,0)</f>
        <v>#N/A</v>
      </c>
      <c r="X210" s="153" t="e">
        <f>+VLOOKUP($M210,Data_Validation!$A:$E,5,0)</f>
        <v>#N/A</v>
      </c>
      <c r="Y210" s="153" t="e">
        <f>+VLOOKUP($M210,Data_Validation!$A:$F,6,0)</f>
        <v>#N/A</v>
      </c>
    </row>
    <row r="211" spans="2:25" ht="15.75" customHeight="1">
      <c r="B211" s="1398"/>
      <c r="C211" s="1401"/>
      <c r="D211" s="1400"/>
      <c r="E211" s="1400"/>
      <c r="F211" s="1400"/>
      <c r="G211" s="1398"/>
      <c r="H211" s="1398"/>
      <c r="I211" s="1399"/>
      <c r="J211" s="1399"/>
      <c r="K211" s="1399"/>
      <c r="L211" s="1399"/>
      <c r="M211" s="150">
        <f t="shared" si="20"/>
        <v>0</v>
      </c>
      <c r="N211" s="151">
        <f t="shared" si="21"/>
        <v>0</v>
      </c>
      <c r="O211" s="152">
        <f>+IF(OR($R211=Parametres!$G$2,$R211=Parametres!$G$3),J211,D211)</f>
        <v>0</v>
      </c>
      <c r="P211" s="1085">
        <f>+IF(OR($R211=Parametres!$G$2,$R211=Parametres!$G$3),K211,E211)</f>
        <v>0</v>
      </c>
      <c r="Q211" s="152">
        <f>+IF(OR($R211=Parametres!$G$2,$R211=Parametres!$G$3),L211,F211)</f>
        <v>0</v>
      </c>
      <c r="R211" s="151">
        <f t="shared" si="22"/>
        <v>0</v>
      </c>
      <c r="S211" s="150">
        <f t="shared" si="23"/>
        <v>0</v>
      </c>
      <c r="T211" s="151">
        <f t="shared" si="24"/>
        <v>0</v>
      </c>
      <c r="U211" s="153" t="e">
        <f>+VLOOKUP($M211,Data_Validation!$A:$D,1,0)</f>
        <v>#N/A</v>
      </c>
      <c r="V211" s="153" t="e">
        <f>+VLOOKUP($M211,Data_Validation!$A:$D,3,0)</f>
        <v>#N/A</v>
      </c>
      <c r="W211" s="153" t="e">
        <f>+VLOOKUP($M211,Data_Validation!$A:$D,4,0)</f>
        <v>#N/A</v>
      </c>
      <c r="X211" s="153" t="e">
        <f>+VLOOKUP($M211,Data_Validation!$A:$E,5,0)</f>
        <v>#N/A</v>
      </c>
      <c r="Y211" s="153" t="e">
        <f>+VLOOKUP($M211,Data_Validation!$A:$F,6,0)</f>
        <v>#N/A</v>
      </c>
    </row>
    <row r="212" spans="2:25" ht="15" customHeight="1">
      <c r="B212" s="1398"/>
      <c r="C212" s="1398"/>
      <c r="D212" s="1399"/>
      <c r="E212" s="1399"/>
      <c r="F212" s="1399"/>
      <c r="G212" s="1398"/>
      <c r="H212" s="1398"/>
      <c r="I212" s="1399"/>
      <c r="J212" s="1400"/>
      <c r="K212" s="1400"/>
      <c r="L212" s="1400"/>
      <c r="M212" s="150">
        <f t="shared" si="20"/>
        <v>0</v>
      </c>
      <c r="N212" s="151">
        <f t="shared" si="21"/>
        <v>0</v>
      </c>
      <c r="O212" s="152">
        <f>+IF(OR($R212=Parametres!$G$2,$R212=Parametres!$G$3),J212,D212)</f>
        <v>0</v>
      </c>
      <c r="P212" s="1085">
        <f>+IF(OR($R212=Parametres!$G$2,$R212=Parametres!$G$3),K212,E212)</f>
        <v>0</v>
      </c>
      <c r="Q212" s="152">
        <f>+IF(OR($R212=Parametres!$G$2,$R212=Parametres!$G$3),L212,F212)</f>
        <v>0</v>
      </c>
      <c r="R212" s="151">
        <f t="shared" si="22"/>
        <v>0</v>
      </c>
      <c r="S212" s="150">
        <f t="shared" si="23"/>
        <v>0</v>
      </c>
      <c r="T212" s="151">
        <f t="shared" si="24"/>
        <v>0</v>
      </c>
      <c r="U212" s="153" t="e">
        <f>+VLOOKUP($M212,Data_Validation!$A:$D,1,0)</f>
        <v>#N/A</v>
      </c>
      <c r="V212" s="153" t="e">
        <f>+VLOOKUP($M212,Data_Validation!$A:$D,3,0)</f>
        <v>#N/A</v>
      </c>
      <c r="W212" s="153" t="e">
        <f>+VLOOKUP($M212,Data_Validation!$A:$D,4,0)</f>
        <v>#N/A</v>
      </c>
      <c r="X212" s="153" t="e">
        <f>+VLOOKUP($M212,Data_Validation!$A:$E,5,0)</f>
        <v>#N/A</v>
      </c>
      <c r="Y212" s="153" t="e">
        <f>+VLOOKUP($M212,Data_Validation!$A:$F,6,0)</f>
        <v>#N/A</v>
      </c>
    </row>
    <row r="213" spans="2:25" ht="15" customHeight="1">
      <c r="B213" s="1398"/>
      <c r="C213" s="1401"/>
      <c r="D213" s="1400"/>
      <c r="E213" s="1400"/>
      <c r="F213" s="1400"/>
      <c r="G213" s="1398"/>
      <c r="H213" s="1398"/>
      <c r="I213" s="1399"/>
      <c r="J213" s="1399"/>
      <c r="K213" s="1399"/>
      <c r="L213" s="1399"/>
      <c r="M213" s="150">
        <f t="shared" si="20"/>
        <v>0</v>
      </c>
      <c r="N213" s="151">
        <f t="shared" si="21"/>
        <v>0</v>
      </c>
      <c r="O213" s="152">
        <f>+IF(OR($R213=Parametres!$G$2,$R213=Parametres!$G$3),J213,D213)</f>
        <v>0</v>
      </c>
      <c r="P213" s="1085">
        <f>+IF(OR($R213=Parametres!$G$2,$R213=Parametres!$G$3),K213,E213)</f>
        <v>0</v>
      </c>
      <c r="Q213" s="152">
        <f>+IF(OR($R213=Parametres!$G$2,$R213=Parametres!$G$3),L213,F213)</f>
        <v>0</v>
      </c>
      <c r="R213" s="151">
        <f t="shared" si="22"/>
        <v>0</v>
      </c>
      <c r="S213" s="150">
        <f t="shared" si="23"/>
        <v>0</v>
      </c>
      <c r="T213" s="151">
        <f t="shared" si="24"/>
        <v>0</v>
      </c>
      <c r="U213" s="153" t="e">
        <f>+VLOOKUP($M213,Data_Validation!$A:$D,1,0)</f>
        <v>#N/A</v>
      </c>
      <c r="V213" s="153" t="e">
        <f>+VLOOKUP($M213,Data_Validation!$A:$D,3,0)</f>
        <v>#N/A</v>
      </c>
      <c r="W213" s="153" t="e">
        <f>+VLOOKUP($M213,Data_Validation!$A:$D,4,0)</f>
        <v>#N/A</v>
      </c>
      <c r="X213" s="153" t="e">
        <f>+VLOOKUP($M213,Data_Validation!$A:$E,5,0)</f>
        <v>#N/A</v>
      </c>
      <c r="Y213" s="153" t="e">
        <f>+VLOOKUP($M213,Data_Validation!$A:$F,6,0)</f>
        <v>#N/A</v>
      </c>
    </row>
    <row r="214" spans="2:25" ht="15" customHeight="1">
      <c r="B214" s="1398"/>
      <c r="C214" s="1398"/>
      <c r="D214" s="1399"/>
      <c r="E214" s="1399"/>
      <c r="F214" s="1399"/>
      <c r="G214" s="1398"/>
      <c r="H214" s="1398"/>
      <c r="I214" s="1399"/>
      <c r="J214" s="1400"/>
      <c r="K214" s="1400"/>
      <c r="L214" s="1400"/>
      <c r="M214" s="150">
        <f t="shared" si="20"/>
        <v>0</v>
      </c>
      <c r="N214" s="151">
        <f t="shared" si="21"/>
        <v>0</v>
      </c>
      <c r="O214" s="152">
        <f>+IF(OR($R214=Parametres!$G$2,$R214=Parametres!$G$3),J214,D214)</f>
        <v>0</v>
      </c>
      <c r="P214" s="1085">
        <f>+IF(OR($R214=Parametres!$G$2,$R214=Parametres!$G$3),K214,E214)</f>
        <v>0</v>
      </c>
      <c r="Q214" s="152">
        <f>+IF(OR($R214=Parametres!$G$2,$R214=Parametres!$G$3),L214,F214)</f>
        <v>0</v>
      </c>
      <c r="R214" s="151">
        <f t="shared" si="22"/>
        <v>0</v>
      </c>
      <c r="S214" s="150">
        <f t="shared" si="23"/>
        <v>0</v>
      </c>
      <c r="T214" s="151">
        <f t="shared" si="24"/>
        <v>0</v>
      </c>
      <c r="U214" s="153" t="e">
        <f>+VLOOKUP($M214,Data_Validation!$A:$D,1,0)</f>
        <v>#N/A</v>
      </c>
      <c r="V214" s="153" t="e">
        <f>+VLOOKUP($M214,Data_Validation!$A:$D,3,0)</f>
        <v>#N/A</v>
      </c>
      <c r="W214" s="153" t="e">
        <f>+VLOOKUP($M214,Data_Validation!$A:$D,4,0)</f>
        <v>#N/A</v>
      </c>
      <c r="X214" s="153" t="e">
        <f>+VLOOKUP($M214,Data_Validation!$A:$E,5,0)</f>
        <v>#N/A</v>
      </c>
      <c r="Y214" s="153" t="e">
        <f>+VLOOKUP($M214,Data_Validation!$A:$F,6,0)</f>
        <v>#N/A</v>
      </c>
    </row>
    <row r="215" spans="2:25" ht="15.75" customHeight="1">
      <c r="B215" s="1398"/>
      <c r="C215" s="1401"/>
      <c r="D215" s="1400"/>
      <c r="E215" s="1400"/>
      <c r="F215" s="1400"/>
      <c r="G215" s="1398"/>
      <c r="H215" s="1398"/>
      <c r="I215" s="1399"/>
      <c r="J215" s="1399"/>
      <c r="K215" s="1399"/>
      <c r="L215" s="1399"/>
      <c r="M215" s="150">
        <f t="shared" si="20"/>
        <v>0</v>
      </c>
      <c r="N215" s="151">
        <f t="shared" si="21"/>
        <v>0</v>
      </c>
      <c r="O215" s="152">
        <f>+IF(OR($R215=Parametres!$G$2,$R215=Parametres!$G$3),J215,D215)</f>
        <v>0</v>
      </c>
      <c r="P215" s="1085">
        <f>+IF(OR($R215=Parametres!$G$2,$R215=Parametres!$G$3),K215,E215)</f>
        <v>0</v>
      </c>
      <c r="Q215" s="152">
        <f>+IF(OR($R215=Parametres!$G$2,$R215=Parametres!$G$3),L215,F215)</f>
        <v>0</v>
      </c>
      <c r="R215" s="151">
        <f t="shared" si="22"/>
        <v>0</v>
      </c>
      <c r="S215" s="150">
        <f t="shared" si="23"/>
        <v>0</v>
      </c>
      <c r="T215" s="151">
        <f t="shared" si="24"/>
        <v>0</v>
      </c>
      <c r="U215" s="153" t="e">
        <f>+VLOOKUP($M215,Data_Validation!$A:$D,1,0)</f>
        <v>#N/A</v>
      </c>
      <c r="V215" s="153" t="e">
        <f>+VLOOKUP($M215,Data_Validation!$A:$D,3,0)</f>
        <v>#N/A</v>
      </c>
      <c r="W215" s="153" t="e">
        <f>+VLOOKUP($M215,Data_Validation!$A:$D,4,0)</f>
        <v>#N/A</v>
      </c>
      <c r="X215" s="153" t="e">
        <f>+VLOOKUP($M215,Data_Validation!$A:$E,5,0)</f>
        <v>#N/A</v>
      </c>
      <c r="Y215" s="153" t="e">
        <f>+VLOOKUP($M215,Data_Validation!$A:$F,6,0)</f>
        <v>#N/A</v>
      </c>
    </row>
    <row r="216" spans="2:25" ht="15" customHeight="1">
      <c r="B216" s="1398"/>
      <c r="C216" s="1398"/>
      <c r="D216" s="1399"/>
      <c r="E216" s="1399"/>
      <c r="F216" s="1399"/>
      <c r="G216" s="1398"/>
      <c r="H216" s="1398"/>
      <c r="I216" s="1399"/>
      <c r="J216" s="1400"/>
      <c r="K216" s="1400"/>
      <c r="L216" s="1400"/>
      <c r="M216" s="150">
        <f t="shared" si="20"/>
        <v>0</v>
      </c>
      <c r="N216" s="151">
        <f t="shared" si="21"/>
        <v>0</v>
      </c>
      <c r="O216" s="152">
        <f>+IF(OR($R216=Parametres!$G$2,$R216=Parametres!$G$3),J216,D216)</f>
        <v>0</v>
      </c>
      <c r="P216" s="1085">
        <f>+IF(OR($R216=Parametres!$G$2,$R216=Parametres!$G$3),K216,E216)</f>
        <v>0</v>
      </c>
      <c r="Q216" s="152">
        <f>+IF(OR($R216=Parametres!$G$2,$R216=Parametres!$G$3),L216,F216)</f>
        <v>0</v>
      </c>
      <c r="R216" s="151">
        <f t="shared" si="22"/>
        <v>0</v>
      </c>
      <c r="S216" s="150">
        <f t="shared" si="23"/>
        <v>0</v>
      </c>
      <c r="T216" s="151">
        <f t="shared" si="24"/>
        <v>0</v>
      </c>
      <c r="U216" s="153" t="e">
        <f>+VLOOKUP($M216,Data_Validation!$A:$D,1,0)</f>
        <v>#N/A</v>
      </c>
      <c r="V216" s="153" t="e">
        <f>+VLOOKUP($M216,Data_Validation!$A:$D,3,0)</f>
        <v>#N/A</v>
      </c>
      <c r="W216" s="153" t="e">
        <f>+VLOOKUP($M216,Data_Validation!$A:$D,4,0)</f>
        <v>#N/A</v>
      </c>
      <c r="X216" s="153" t="e">
        <f>+VLOOKUP($M216,Data_Validation!$A:$E,5,0)</f>
        <v>#N/A</v>
      </c>
      <c r="Y216" s="153" t="e">
        <f>+VLOOKUP($M216,Data_Validation!$A:$F,6,0)</f>
        <v>#N/A</v>
      </c>
    </row>
    <row r="217" spans="2:25" ht="15" customHeight="1">
      <c r="B217" s="1398"/>
      <c r="C217" s="1401"/>
      <c r="D217" s="1400"/>
      <c r="E217" s="1400"/>
      <c r="F217" s="1400"/>
      <c r="G217" s="1398"/>
      <c r="H217" s="1398"/>
      <c r="I217" s="1399"/>
      <c r="J217" s="1399"/>
      <c r="K217" s="1399"/>
      <c r="L217" s="1399"/>
      <c r="M217" s="150">
        <f t="shared" si="20"/>
        <v>0</v>
      </c>
      <c r="N217" s="151">
        <f t="shared" si="21"/>
        <v>0</v>
      </c>
      <c r="O217" s="152">
        <f>+IF(OR($R217=Parametres!$G$2,$R217=Parametres!$G$3),J217,D217)</f>
        <v>0</v>
      </c>
      <c r="P217" s="1085">
        <f>+IF(OR($R217=Parametres!$G$2,$R217=Parametres!$G$3),K217,E217)</f>
        <v>0</v>
      </c>
      <c r="Q217" s="152">
        <f>+IF(OR($R217=Parametres!$G$2,$R217=Parametres!$G$3),L217,F217)</f>
        <v>0</v>
      </c>
      <c r="R217" s="151">
        <f t="shared" si="22"/>
        <v>0</v>
      </c>
      <c r="S217" s="150">
        <f t="shared" si="23"/>
        <v>0</v>
      </c>
      <c r="T217" s="151">
        <f t="shared" si="24"/>
        <v>0</v>
      </c>
      <c r="U217" s="153" t="e">
        <f>+VLOOKUP($M217,Data_Validation!$A:$D,1,0)</f>
        <v>#N/A</v>
      </c>
      <c r="V217" s="153" t="e">
        <f>+VLOOKUP($M217,Data_Validation!$A:$D,3,0)</f>
        <v>#N/A</v>
      </c>
      <c r="W217" s="153" t="e">
        <f>+VLOOKUP($M217,Data_Validation!$A:$D,4,0)</f>
        <v>#N/A</v>
      </c>
      <c r="X217" s="153" t="e">
        <f>+VLOOKUP($M217,Data_Validation!$A:$E,5,0)</f>
        <v>#N/A</v>
      </c>
      <c r="Y217" s="153" t="e">
        <f>+VLOOKUP($M217,Data_Validation!$A:$F,6,0)</f>
        <v>#N/A</v>
      </c>
    </row>
    <row r="218" spans="2:25" ht="15" customHeight="1">
      <c r="B218" s="1398"/>
      <c r="C218" s="1398"/>
      <c r="D218" s="1399"/>
      <c r="E218" s="1399"/>
      <c r="F218" s="1399"/>
      <c r="G218" s="1398"/>
      <c r="H218" s="1398"/>
      <c r="I218" s="1399"/>
      <c r="J218" s="1400"/>
      <c r="K218" s="1400"/>
      <c r="L218" s="1400"/>
      <c r="M218" s="150">
        <f t="shared" si="20"/>
        <v>0</v>
      </c>
      <c r="N218" s="151">
        <f t="shared" si="21"/>
        <v>0</v>
      </c>
      <c r="O218" s="152">
        <f>+IF(OR($R218=Parametres!$G$2,$R218=Parametres!$G$3),J218,D218)</f>
        <v>0</v>
      </c>
      <c r="P218" s="1085">
        <f>+IF(OR($R218=Parametres!$G$2,$R218=Parametres!$G$3),K218,E218)</f>
        <v>0</v>
      </c>
      <c r="Q218" s="152">
        <f>+IF(OR($R218=Parametres!$G$2,$R218=Parametres!$G$3),L218,F218)</f>
        <v>0</v>
      </c>
      <c r="R218" s="151">
        <f t="shared" si="22"/>
        <v>0</v>
      </c>
      <c r="S218" s="150">
        <f t="shared" si="23"/>
        <v>0</v>
      </c>
      <c r="T218" s="151">
        <f t="shared" si="24"/>
        <v>0</v>
      </c>
      <c r="U218" s="153" t="e">
        <f>+VLOOKUP($M218,Data_Validation!$A:$D,1,0)</f>
        <v>#N/A</v>
      </c>
      <c r="V218" s="153" t="e">
        <f>+VLOOKUP($M218,Data_Validation!$A:$D,3,0)</f>
        <v>#N/A</v>
      </c>
      <c r="W218" s="153" t="e">
        <f>+VLOOKUP($M218,Data_Validation!$A:$D,4,0)</f>
        <v>#N/A</v>
      </c>
      <c r="X218" s="153" t="e">
        <f>+VLOOKUP($M218,Data_Validation!$A:$E,5,0)</f>
        <v>#N/A</v>
      </c>
      <c r="Y218" s="153" t="e">
        <f>+VLOOKUP($M218,Data_Validation!$A:$F,6,0)</f>
        <v>#N/A</v>
      </c>
    </row>
    <row r="219" spans="2:25" ht="15.75" customHeight="1">
      <c r="B219" s="1398"/>
      <c r="C219" s="1401"/>
      <c r="D219" s="1400"/>
      <c r="E219" s="1400"/>
      <c r="F219" s="1400"/>
      <c r="G219" s="1398"/>
      <c r="H219" s="1398"/>
      <c r="I219" s="1399"/>
      <c r="J219" s="1399"/>
      <c r="K219" s="1399"/>
      <c r="L219" s="1399"/>
      <c r="M219" s="150">
        <f t="shared" si="20"/>
        <v>0</v>
      </c>
      <c r="N219" s="151">
        <f t="shared" si="21"/>
        <v>0</v>
      </c>
      <c r="O219" s="152">
        <f>+IF(OR($R219=Parametres!$G$2,$R219=Parametres!$G$3),J219,D219)</f>
        <v>0</v>
      </c>
      <c r="P219" s="1083">
        <f>+IF(OR($R219=Parametres!$G$2,$R219=Parametres!$G$3),K219,E219)</f>
        <v>0</v>
      </c>
      <c r="Q219" s="152">
        <f>+IF(OR($R219=Parametres!$G$2,$R219=Parametres!$G$3),L219,F219)</f>
        <v>0</v>
      </c>
      <c r="R219" s="151">
        <f t="shared" si="22"/>
        <v>0</v>
      </c>
      <c r="S219" s="150">
        <f t="shared" si="23"/>
        <v>0</v>
      </c>
      <c r="T219" s="151">
        <f t="shared" si="24"/>
        <v>0</v>
      </c>
      <c r="U219" s="153" t="e">
        <f>+VLOOKUP($M219,Data_Validation!$A:$D,1,0)</f>
        <v>#N/A</v>
      </c>
      <c r="V219" s="153" t="e">
        <f>+VLOOKUP($M219,Data_Validation!$A:$D,3,0)</f>
        <v>#N/A</v>
      </c>
      <c r="W219" s="153" t="e">
        <f>+VLOOKUP($M219,Data_Validation!$A:$D,4,0)</f>
        <v>#N/A</v>
      </c>
      <c r="X219" s="153" t="e">
        <f>+VLOOKUP($M219,Data_Validation!$A:$E,5,0)</f>
        <v>#N/A</v>
      </c>
      <c r="Y219" s="153" t="e">
        <f>+VLOOKUP($M219,Data_Validation!$A:$F,6,0)</f>
        <v>#N/A</v>
      </c>
    </row>
    <row r="220" spans="2:25" ht="15" customHeight="1">
      <c r="B220" s="1398"/>
      <c r="C220" s="1398"/>
      <c r="D220" s="1399"/>
      <c r="E220" s="1399"/>
      <c r="F220" s="1399"/>
      <c r="G220" s="1398"/>
      <c r="H220" s="1398"/>
      <c r="I220" s="1399"/>
      <c r="J220" s="1400"/>
      <c r="K220" s="1400"/>
      <c r="L220" s="1400"/>
      <c r="M220" s="150">
        <f t="shared" si="20"/>
        <v>0</v>
      </c>
      <c r="N220" s="151">
        <f t="shared" si="21"/>
        <v>0</v>
      </c>
      <c r="O220" s="152">
        <f>+IF(OR($R220=Parametres!$G$2,$R220=Parametres!$G$3),J220,D220)</f>
        <v>0</v>
      </c>
      <c r="P220" s="1085">
        <f>+IF(OR($R220=Parametres!$G$2,$R220=Parametres!$G$3),K220,E220)</f>
        <v>0</v>
      </c>
      <c r="Q220" s="152">
        <f>+IF(OR($R220=Parametres!$G$2,$R220=Parametres!$G$3),L220,F220)</f>
        <v>0</v>
      </c>
      <c r="R220" s="151">
        <f t="shared" si="22"/>
        <v>0</v>
      </c>
      <c r="S220" s="150">
        <f t="shared" si="23"/>
        <v>0</v>
      </c>
      <c r="T220" s="151">
        <f t="shared" si="24"/>
        <v>0</v>
      </c>
      <c r="U220" s="153" t="e">
        <f>+VLOOKUP($M220,Data_Validation!$A:$D,1,0)</f>
        <v>#N/A</v>
      </c>
      <c r="V220" s="153" t="e">
        <f>+VLOOKUP($M220,Data_Validation!$A:$D,3,0)</f>
        <v>#N/A</v>
      </c>
      <c r="W220" s="153" t="e">
        <f>+VLOOKUP($M220,Data_Validation!$A:$D,4,0)</f>
        <v>#N/A</v>
      </c>
      <c r="X220" s="153" t="e">
        <f>+VLOOKUP($M220,Data_Validation!$A:$E,5,0)</f>
        <v>#N/A</v>
      </c>
      <c r="Y220" s="153" t="e">
        <f>+VLOOKUP($M220,Data_Validation!$A:$F,6,0)</f>
        <v>#N/A</v>
      </c>
    </row>
    <row r="221" spans="2:25" ht="15" customHeight="1">
      <c r="B221" s="1398"/>
      <c r="C221" s="1401"/>
      <c r="D221" s="1400"/>
      <c r="E221" s="1400"/>
      <c r="F221" s="1400"/>
      <c r="G221" s="1398"/>
      <c r="H221" s="1398"/>
      <c r="I221" s="1399"/>
      <c r="J221" s="1399"/>
      <c r="K221" s="1399"/>
      <c r="L221" s="1399"/>
      <c r="M221" s="150">
        <f t="shared" si="20"/>
        <v>0</v>
      </c>
      <c r="N221" s="151">
        <f t="shared" si="21"/>
        <v>0</v>
      </c>
      <c r="O221" s="152">
        <f>+IF(OR($R221=Parametres!$G$2,$R221=Parametres!$G$3),J221,D221)</f>
        <v>0</v>
      </c>
      <c r="P221" s="1085">
        <f>+IF(OR($R221=Parametres!$G$2,$R221=Parametres!$G$3),K221,E221)</f>
        <v>0</v>
      </c>
      <c r="Q221" s="152">
        <f>+IF(OR($R221=Parametres!$G$2,$R221=Parametres!$G$3),L221,F221)</f>
        <v>0</v>
      </c>
      <c r="R221" s="151">
        <f t="shared" si="22"/>
        <v>0</v>
      </c>
      <c r="S221" s="150">
        <f t="shared" si="23"/>
        <v>0</v>
      </c>
      <c r="T221" s="151">
        <f t="shared" si="24"/>
        <v>0</v>
      </c>
      <c r="U221" s="153" t="e">
        <f>+VLOOKUP($M221,Data_Validation!$A:$D,1,0)</f>
        <v>#N/A</v>
      </c>
      <c r="V221" s="153" t="e">
        <f>+VLOOKUP($M221,Data_Validation!$A:$D,3,0)</f>
        <v>#N/A</v>
      </c>
      <c r="W221" s="153" t="e">
        <f>+VLOOKUP($M221,Data_Validation!$A:$D,4,0)</f>
        <v>#N/A</v>
      </c>
      <c r="X221" s="153" t="e">
        <f>+VLOOKUP($M221,Data_Validation!$A:$E,5,0)</f>
        <v>#N/A</v>
      </c>
      <c r="Y221" s="153" t="e">
        <f>+VLOOKUP($M221,Data_Validation!$A:$F,6,0)</f>
        <v>#N/A</v>
      </c>
    </row>
    <row r="222" spans="2:25" ht="15" customHeight="1">
      <c r="B222" s="1398"/>
      <c r="C222" s="1398"/>
      <c r="D222" s="1399"/>
      <c r="E222" s="1399"/>
      <c r="F222" s="1399"/>
      <c r="G222" s="1398"/>
      <c r="H222" s="1398"/>
      <c r="I222" s="1399"/>
      <c r="J222" s="1400"/>
      <c r="K222" s="1400"/>
      <c r="L222" s="1400"/>
      <c r="M222" s="150">
        <f t="shared" si="20"/>
        <v>0</v>
      </c>
      <c r="N222" s="151">
        <f t="shared" si="21"/>
        <v>0</v>
      </c>
      <c r="O222" s="152">
        <f>+IF(OR($R222=Parametres!$G$2,$R222=Parametres!$G$3),J222,D222)</f>
        <v>0</v>
      </c>
      <c r="P222" s="1085">
        <f>+IF(OR($R222=Parametres!$G$2,$R222=Parametres!$G$3),K222,E222)</f>
        <v>0</v>
      </c>
      <c r="Q222" s="152">
        <f>+IF(OR($R222=Parametres!$G$2,$R222=Parametres!$G$3),L222,F222)</f>
        <v>0</v>
      </c>
      <c r="R222" s="151">
        <f t="shared" si="22"/>
        <v>0</v>
      </c>
      <c r="S222" s="150">
        <f t="shared" si="23"/>
        <v>0</v>
      </c>
      <c r="T222" s="151">
        <f t="shared" si="24"/>
        <v>0</v>
      </c>
      <c r="U222" s="153" t="e">
        <f>+VLOOKUP($M222,Data_Validation!$A:$D,1,0)</f>
        <v>#N/A</v>
      </c>
      <c r="V222" s="153" t="e">
        <f>+VLOOKUP($M222,Data_Validation!$A:$D,3,0)</f>
        <v>#N/A</v>
      </c>
      <c r="W222" s="153" t="e">
        <f>+VLOOKUP($M222,Data_Validation!$A:$D,4,0)</f>
        <v>#N/A</v>
      </c>
      <c r="X222" s="153" t="e">
        <f>+VLOOKUP($M222,Data_Validation!$A:$E,5,0)</f>
        <v>#N/A</v>
      </c>
      <c r="Y222" s="153" t="e">
        <f>+VLOOKUP($M222,Data_Validation!$A:$F,6,0)</f>
        <v>#N/A</v>
      </c>
    </row>
    <row r="223" spans="2:25" ht="15" customHeight="1">
      <c r="B223" s="1398"/>
      <c r="C223" s="1401"/>
      <c r="D223" s="1400"/>
      <c r="E223" s="1400"/>
      <c r="F223" s="1400"/>
      <c r="G223" s="1398"/>
      <c r="H223" s="1398"/>
      <c r="I223" s="1399"/>
      <c r="J223" s="1399"/>
      <c r="K223" s="1399"/>
      <c r="L223" s="1399"/>
      <c r="M223" s="150">
        <f t="shared" si="20"/>
        <v>0</v>
      </c>
      <c r="N223" s="151">
        <f t="shared" si="21"/>
        <v>0</v>
      </c>
      <c r="O223" s="152">
        <f>+IF(OR($R223=Parametres!$G$2,$R223=Parametres!$G$3),J223,D223)</f>
        <v>0</v>
      </c>
      <c r="P223" s="1085">
        <f>+IF(OR($R223=Parametres!$G$2,$R223=Parametres!$G$3),K223,E223)</f>
        <v>0</v>
      </c>
      <c r="Q223" s="152">
        <f>+IF(OR($R223=Parametres!$G$2,$R223=Parametres!$G$3),L223,F223)</f>
        <v>0</v>
      </c>
      <c r="R223" s="151">
        <f t="shared" si="22"/>
        <v>0</v>
      </c>
      <c r="S223" s="150">
        <f t="shared" si="23"/>
        <v>0</v>
      </c>
      <c r="T223" s="151">
        <f t="shared" si="24"/>
        <v>0</v>
      </c>
      <c r="U223" s="153" t="e">
        <f>+VLOOKUP($M223,Data_Validation!$A:$D,1,0)</f>
        <v>#N/A</v>
      </c>
      <c r="V223" s="153" t="e">
        <f>+VLOOKUP($M223,Data_Validation!$A:$D,3,0)</f>
        <v>#N/A</v>
      </c>
      <c r="W223" s="153" t="e">
        <f>+VLOOKUP($M223,Data_Validation!$A:$D,4,0)</f>
        <v>#N/A</v>
      </c>
      <c r="X223" s="153" t="e">
        <f>+VLOOKUP($M223,Data_Validation!$A:$E,5,0)</f>
        <v>#N/A</v>
      </c>
      <c r="Y223" s="153" t="e">
        <f>+VLOOKUP($M223,Data_Validation!$A:$F,6,0)</f>
        <v>#N/A</v>
      </c>
    </row>
    <row r="224" spans="2:25" ht="15" customHeight="1">
      <c r="B224" s="1398"/>
      <c r="C224" s="1398"/>
      <c r="D224" s="1399"/>
      <c r="E224" s="1399"/>
      <c r="F224" s="1399"/>
      <c r="G224" s="1398"/>
      <c r="H224" s="1398"/>
      <c r="I224" s="1399"/>
      <c r="J224" s="1400"/>
      <c r="K224" s="1400"/>
      <c r="L224" s="1400"/>
      <c r="M224" s="150">
        <f t="shared" si="20"/>
        <v>0</v>
      </c>
      <c r="N224" s="151">
        <f t="shared" si="21"/>
        <v>0</v>
      </c>
      <c r="O224" s="152">
        <f>+IF(OR($R224=Parametres!$G$2,$R224=Parametres!$G$3),J224,D224)</f>
        <v>0</v>
      </c>
      <c r="P224" s="1085">
        <f>+IF(OR($R224=Parametres!$G$2,$R224=Parametres!$G$3),K224,E224)</f>
        <v>0</v>
      </c>
      <c r="Q224" s="152">
        <f>+IF(OR($R224=Parametres!$G$2,$R224=Parametres!$G$3),L224,F224)</f>
        <v>0</v>
      </c>
      <c r="R224" s="151">
        <f t="shared" si="22"/>
        <v>0</v>
      </c>
      <c r="S224" s="150">
        <f t="shared" si="23"/>
        <v>0</v>
      </c>
      <c r="T224" s="151">
        <f t="shared" si="24"/>
        <v>0</v>
      </c>
      <c r="U224" s="153" t="e">
        <f>+VLOOKUP($M224,Data_Validation!$A:$D,1,0)</f>
        <v>#N/A</v>
      </c>
      <c r="V224" s="153" t="e">
        <f>+VLOOKUP($M224,Data_Validation!$A:$D,3,0)</f>
        <v>#N/A</v>
      </c>
      <c r="W224" s="153" t="e">
        <f>+VLOOKUP($M224,Data_Validation!$A:$D,4,0)</f>
        <v>#N/A</v>
      </c>
      <c r="X224" s="153" t="e">
        <f>+VLOOKUP($M224,Data_Validation!$A:$E,5,0)</f>
        <v>#N/A</v>
      </c>
      <c r="Y224" s="153" t="e">
        <f>+VLOOKUP($M224,Data_Validation!$A:$F,6,0)</f>
        <v>#N/A</v>
      </c>
    </row>
    <row r="225" spans="2:25" ht="15.75" customHeight="1">
      <c r="B225" s="1398"/>
      <c r="C225" s="1401"/>
      <c r="D225" s="1400"/>
      <c r="E225" s="1400"/>
      <c r="F225" s="1400"/>
      <c r="G225" s="1398"/>
      <c r="H225" s="1398"/>
      <c r="I225" s="1399"/>
      <c r="J225" s="1399"/>
      <c r="K225" s="1399"/>
      <c r="L225" s="1399"/>
      <c r="M225" s="150">
        <f t="shared" si="20"/>
        <v>0</v>
      </c>
      <c r="N225" s="151">
        <f t="shared" si="21"/>
        <v>0</v>
      </c>
      <c r="O225" s="152">
        <f>+IF(OR($R225=Parametres!$G$2,$R225=Parametres!$G$3),J225,D225)</f>
        <v>0</v>
      </c>
      <c r="P225" s="1085">
        <f>+IF(OR($R225=Parametres!$G$2,$R225=Parametres!$G$3),K225,E225)</f>
        <v>0</v>
      </c>
      <c r="Q225" s="152">
        <f>+IF(OR($R225=Parametres!$G$2,$R225=Parametres!$G$3),L225,F225)</f>
        <v>0</v>
      </c>
      <c r="R225" s="151">
        <f t="shared" si="22"/>
        <v>0</v>
      </c>
      <c r="S225" s="150">
        <f t="shared" si="23"/>
        <v>0</v>
      </c>
      <c r="T225" s="151">
        <f t="shared" si="24"/>
        <v>0</v>
      </c>
      <c r="U225" s="153" t="e">
        <f>+VLOOKUP($M225,Data_Validation!$A:$D,1,0)</f>
        <v>#N/A</v>
      </c>
      <c r="V225" s="153" t="e">
        <f>+VLOOKUP($M225,Data_Validation!$A:$D,3,0)</f>
        <v>#N/A</v>
      </c>
      <c r="W225" s="153" t="e">
        <f>+VLOOKUP($M225,Data_Validation!$A:$D,4,0)</f>
        <v>#N/A</v>
      </c>
      <c r="X225" s="153" t="e">
        <f>+VLOOKUP($M225,Data_Validation!$A:$E,5,0)</f>
        <v>#N/A</v>
      </c>
      <c r="Y225" s="153" t="e">
        <f>+VLOOKUP($M225,Data_Validation!$A:$F,6,0)</f>
        <v>#N/A</v>
      </c>
    </row>
    <row r="226" spans="2:25" ht="15" customHeight="1">
      <c r="B226" s="1398"/>
      <c r="C226" s="1398"/>
      <c r="D226" s="1399"/>
      <c r="E226" s="1399"/>
      <c r="F226" s="1399"/>
      <c r="G226" s="1398"/>
      <c r="H226" s="1398"/>
      <c r="I226" s="1399"/>
      <c r="J226" s="1400"/>
      <c r="K226" s="1400"/>
      <c r="L226" s="1400"/>
      <c r="M226" s="150">
        <f t="shared" si="20"/>
        <v>0</v>
      </c>
      <c r="N226" s="151">
        <f t="shared" si="21"/>
        <v>0</v>
      </c>
      <c r="O226" s="152">
        <f>+IF(OR($R226=Parametres!$G$2,$R226=Parametres!$G$3),J226,D226)</f>
        <v>0</v>
      </c>
      <c r="P226" s="1085">
        <f>+IF(OR($R226=Parametres!$G$2,$R226=Parametres!$G$3),K226,E226)</f>
        <v>0</v>
      </c>
      <c r="Q226" s="152">
        <f>+IF(OR($R226=Parametres!$G$2,$R226=Parametres!$G$3),L226,F226)</f>
        <v>0</v>
      </c>
      <c r="R226" s="151">
        <f t="shared" si="22"/>
        <v>0</v>
      </c>
      <c r="S226" s="150">
        <f t="shared" si="23"/>
        <v>0</v>
      </c>
      <c r="T226" s="151">
        <f t="shared" si="24"/>
        <v>0</v>
      </c>
      <c r="U226" s="153" t="e">
        <f>+VLOOKUP($M226,Data_Validation!$A:$D,1,0)</f>
        <v>#N/A</v>
      </c>
      <c r="V226" s="153" t="e">
        <f>+VLOOKUP($M226,Data_Validation!$A:$D,3,0)</f>
        <v>#N/A</v>
      </c>
      <c r="W226" s="153" t="e">
        <f>+VLOOKUP($M226,Data_Validation!$A:$D,4,0)</f>
        <v>#N/A</v>
      </c>
      <c r="X226" s="153" t="e">
        <f>+VLOOKUP($M226,Data_Validation!$A:$E,5,0)</f>
        <v>#N/A</v>
      </c>
      <c r="Y226" s="153" t="e">
        <f>+VLOOKUP($M226,Data_Validation!$A:$F,6,0)</f>
        <v>#N/A</v>
      </c>
    </row>
    <row r="227" spans="2:25" ht="15" customHeight="1">
      <c r="B227" s="1398"/>
      <c r="C227" s="1401"/>
      <c r="D227" s="1400"/>
      <c r="E227" s="1400"/>
      <c r="F227" s="1400"/>
      <c r="G227" s="1398"/>
      <c r="H227" s="1398"/>
      <c r="I227" s="1399"/>
      <c r="J227" s="1399"/>
      <c r="K227" s="1399"/>
      <c r="L227" s="1399"/>
      <c r="M227" s="150">
        <f t="shared" si="20"/>
        <v>0</v>
      </c>
      <c r="N227" s="151">
        <f t="shared" si="21"/>
        <v>0</v>
      </c>
      <c r="O227" s="152">
        <f>+IF(OR($R227=Parametres!$G$2,$R227=Parametres!$G$3),J227,D227)</f>
        <v>0</v>
      </c>
      <c r="P227" s="1085">
        <f>+IF(OR($R227=Parametres!$G$2,$R227=Parametres!$G$3),K227,E227)</f>
        <v>0</v>
      </c>
      <c r="Q227" s="152">
        <f>+IF(OR($R227=Parametres!$G$2,$R227=Parametres!$G$3),L227,F227)</f>
        <v>0</v>
      </c>
      <c r="R227" s="151">
        <f t="shared" si="22"/>
        <v>0</v>
      </c>
      <c r="S227" s="150">
        <f t="shared" si="23"/>
        <v>0</v>
      </c>
      <c r="T227" s="151">
        <f t="shared" si="24"/>
        <v>0</v>
      </c>
      <c r="U227" s="153" t="e">
        <f>+VLOOKUP($M227,Data_Validation!$A:$D,1,0)</f>
        <v>#N/A</v>
      </c>
      <c r="V227" s="153" t="e">
        <f>+VLOOKUP($M227,Data_Validation!$A:$D,3,0)</f>
        <v>#N/A</v>
      </c>
      <c r="W227" s="153" t="e">
        <f>+VLOOKUP($M227,Data_Validation!$A:$D,4,0)</f>
        <v>#N/A</v>
      </c>
      <c r="X227" s="153" t="e">
        <f>+VLOOKUP($M227,Data_Validation!$A:$E,5,0)</f>
        <v>#N/A</v>
      </c>
      <c r="Y227" s="153" t="e">
        <f>+VLOOKUP($M227,Data_Validation!$A:$F,6,0)</f>
        <v>#N/A</v>
      </c>
    </row>
    <row r="228" spans="2:25" ht="15" customHeight="1">
      <c r="B228" s="1398"/>
      <c r="C228" s="1398"/>
      <c r="D228" s="1399"/>
      <c r="E228" s="1399"/>
      <c r="F228" s="1399"/>
      <c r="G228" s="1398"/>
      <c r="H228" s="1398"/>
      <c r="I228" s="1399"/>
      <c r="J228" s="1400"/>
      <c r="K228" s="1400"/>
      <c r="L228" s="1400"/>
      <c r="M228" s="150">
        <f t="shared" si="20"/>
        <v>0</v>
      </c>
      <c r="N228" s="151">
        <f t="shared" si="21"/>
        <v>0</v>
      </c>
      <c r="O228" s="152">
        <f>+IF(OR($R228=Parametres!$G$2,$R228=Parametres!$G$3),J228,D228)</f>
        <v>0</v>
      </c>
      <c r="P228" s="1085">
        <f>+IF(OR($R228=Parametres!$G$2,$R228=Parametres!$G$3),K228,E228)</f>
        <v>0</v>
      </c>
      <c r="Q228" s="152">
        <f>+IF(OR($R228=Parametres!$G$2,$R228=Parametres!$G$3),L228,F228)</f>
        <v>0</v>
      </c>
      <c r="R228" s="151">
        <f t="shared" si="22"/>
        <v>0</v>
      </c>
      <c r="S228" s="150">
        <f t="shared" si="23"/>
        <v>0</v>
      </c>
      <c r="T228" s="151">
        <f t="shared" si="24"/>
        <v>0</v>
      </c>
      <c r="U228" s="153" t="e">
        <f>+VLOOKUP($M228,Data_Validation!$A:$D,1,0)</f>
        <v>#N/A</v>
      </c>
      <c r="V228" s="153" t="e">
        <f>+VLOOKUP($M228,Data_Validation!$A:$D,3,0)</f>
        <v>#N/A</v>
      </c>
      <c r="W228" s="153" t="e">
        <f>+VLOOKUP($M228,Data_Validation!$A:$D,4,0)</f>
        <v>#N/A</v>
      </c>
      <c r="X228" s="153" t="e">
        <f>+VLOOKUP($M228,Data_Validation!$A:$E,5,0)</f>
        <v>#N/A</v>
      </c>
      <c r="Y228" s="153" t="e">
        <f>+VLOOKUP($M228,Data_Validation!$A:$F,6,0)</f>
        <v>#N/A</v>
      </c>
    </row>
    <row r="229" spans="2:25" ht="15.75" customHeight="1">
      <c r="B229" s="1398"/>
      <c r="C229" s="1401"/>
      <c r="D229" s="1400"/>
      <c r="E229" s="1400"/>
      <c r="F229" s="1400"/>
      <c r="G229" s="1398"/>
      <c r="H229" s="1398"/>
      <c r="I229" s="1399"/>
      <c r="J229" s="1399"/>
      <c r="K229" s="1399"/>
      <c r="L229" s="1399"/>
      <c r="M229" s="150">
        <f t="shared" si="20"/>
        <v>0</v>
      </c>
      <c r="N229" s="151">
        <f t="shared" si="21"/>
        <v>0</v>
      </c>
      <c r="O229" s="152">
        <f>+IF(OR($R229=Parametres!$G$2,$R229=Parametres!$G$3),J229,D229)</f>
        <v>0</v>
      </c>
      <c r="P229" s="1085">
        <f>+IF(OR($R229=Parametres!$G$2,$R229=Parametres!$G$3),K229,E229)</f>
        <v>0</v>
      </c>
      <c r="Q229" s="152">
        <f>+IF(OR($R229=Parametres!$G$2,$R229=Parametres!$G$3),L229,F229)</f>
        <v>0</v>
      </c>
      <c r="R229" s="151">
        <f t="shared" si="22"/>
        <v>0</v>
      </c>
      <c r="S229" s="150">
        <f t="shared" si="23"/>
        <v>0</v>
      </c>
      <c r="T229" s="151">
        <f t="shared" si="24"/>
        <v>0</v>
      </c>
      <c r="U229" s="153" t="e">
        <f>+VLOOKUP($M229,Data_Validation!$A:$D,1,0)</f>
        <v>#N/A</v>
      </c>
      <c r="V229" s="153" t="e">
        <f>+VLOOKUP($M229,Data_Validation!$A:$D,3,0)</f>
        <v>#N/A</v>
      </c>
      <c r="W229" s="153" t="e">
        <f>+VLOOKUP($M229,Data_Validation!$A:$D,4,0)</f>
        <v>#N/A</v>
      </c>
      <c r="X229" s="153" t="e">
        <f>+VLOOKUP($M229,Data_Validation!$A:$E,5,0)</f>
        <v>#N/A</v>
      </c>
      <c r="Y229" s="153" t="e">
        <f>+VLOOKUP($M229,Data_Validation!$A:$F,6,0)</f>
        <v>#N/A</v>
      </c>
    </row>
    <row r="230" spans="2:25" ht="15" customHeight="1">
      <c r="B230" s="1398"/>
      <c r="C230" s="1401"/>
      <c r="D230" s="1400"/>
      <c r="E230" s="1400"/>
      <c r="F230" s="1400"/>
      <c r="G230" s="1398"/>
      <c r="H230" s="1398"/>
      <c r="I230" s="1399"/>
      <c r="J230" s="1399"/>
      <c r="K230" s="1399"/>
      <c r="L230" s="1399"/>
      <c r="M230" s="150">
        <f t="shared" si="20"/>
        <v>0</v>
      </c>
      <c r="N230" s="151">
        <f t="shared" si="21"/>
        <v>0</v>
      </c>
      <c r="O230" s="152">
        <f>+IF(OR($R230=Parametres!$G$2,$R230=Parametres!$G$3),J230,D230)</f>
        <v>0</v>
      </c>
      <c r="P230" s="1085">
        <f>+IF(OR($R230=Parametres!$G$2,$R230=Parametres!$G$3),K230,E230)</f>
        <v>0</v>
      </c>
      <c r="Q230" s="152">
        <f>+IF(OR($R230=Parametres!$G$2,$R230=Parametres!$G$3),L230,F230)</f>
        <v>0</v>
      </c>
      <c r="R230" s="151">
        <f t="shared" si="22"/>
        <v>0</v>
      </c>
      <c r="S230" s="150">
        <f t="shared" si="23"/>
        <v>0</v>
      </c>
      <c r="T230" s="151">
        <f t="shared" si="24"/>
        <v>0</v>
      </c>
      <c r="U230" s="153" t="e">
        <f>+VLOOKUP($M230,Data_Validation!$A:$D,1,0)</f>
        <v>#N/A</v>
      </c>
      <c r="V230" s="153" t="e">
        <f>+VLOOKUP($M230,Data_Validation!$A:$D,3,0)</f>
        <v>#N/A</v>
      </c>
      <c r="W230" s="153" t="e">
        <f>+VLOOKUP($M230,Data_Validation!$A:$D,4,0)</f>
        <v>#N/A</v>
      </c>
      <c r="X230" s="153" t="e">
        <f>+VLOOKUP($M230,Data_Validation!$A:$E,5,0)</f>
        <v>#N/A</v>
      </c>
      <c r="Y230" s="153" t="e">
        <f>+VLOOKUP($M230,Data_Validation!$A:$F,6,0)</f>
        <v>#N/A</v>
      </c>
    </row>
    <row r="231" spans="2:25" ht="15" customHeight="1">
      <c r="B231" s="1398"/>
      <c r="C231" s="1398"/>
      <c r="D231" s="1399"/>
      <c r="E231" s="1399"/>
      <c r="F231" s="1399"/>
      <c r="G231" s="1398"/>
      <c r="H231" s="1398"/>
      <c r="I231" s="1399"/>
      <c r="J231" s="1400"/>
      <c r="K231" s="1400"/>
      <c r="L231" s="1400"/>
      <c r="M231" s="150">
        <f t="shared" si="20"/>
        <v>0</v>
      </c>
      <c r="N231" s="151">
        <f t="shared" si="21"/>
        <v>0</v>
      </c>
      <c r="O231" s="152">
        <f>+IF(OR($R231=Parametres!$G$2,$R231=Parametres!$G$3),J231,D231)</f>
        <v>0</v>
      </c>
      <c r="P231" s="1085">
        <f>+IF(OR($R231=Parametres!$G$2,$R231=Parametres!$G$3),K231,E231)</f>
        <v>0</v>
      </c>
      <c r="Q231" s="152">
        <f>+IF(OR($R231=Parametres!$G$2,$R231=Parametres!$G$3),L231,F231)</f>
        <v>0</v>
      </c>
      <c r="R231" s="151">
        <f t="shared" si="22"/>
        <v>0</v>
      </c>
      <c r="S231" s="150">
        <f t="shared" si="23"/>
        <v>0</v>
      </c>
      <c r="T231" s="151">
        <f t="shared" si="24"/>
        <v>0</v>
      </c>
      <c r="U231" s="153" t="e">
        <f>+VLOOKUP($M231,Data_Validation!$A:$D,1,0)</f>
        <v>#N/A</v>
      </c>
      <c r="V231" s="153" t="e">
        <f>+VLOOKUP($M231,Data_Validation!$A:$D,3,0)</f>
        <v>#N/A</v>
      </c>
      <c r="W231" s="153" t="e">
        <f>+VLOOKUP($M231,Data_Validation!$A:$D,4,0)</f>
        <v>#N/A</v>
      </c>
      <c r="X231" s="153" t="e">
        <f>+VLOOKUP($M231,Data_Validation!$A:$E,5,0)</f>
        <v>#N/A</v>
      </c>
      <c r="Y231" s="153" t="e">
        <f>+VLOOKUP($M231,Data_Validation!$A:$F,6,0)</f>
        <v>#N/A</v>
      </c>
    </row>
    <row r="232" spans="2:25" ht="15" customHeight="1">
      <c r="B232" s="1398"/>
      <c r="C232" s="1401"/>
      <c r="D232" s="1400"/>
      <c r="E232" s="1400"/>
      <c r="F232" s="1400"/>
      <c r="G232" s="1398"/>
      <c r="H232" s="1398"/>
      <c r="I232" s="1399"/>
      <c r="J232" s="1399"/>
      <c r="K232" s="1399"/>
      <c r="L232" s="1399"/>
      <c r="M232" s="150">
        <f t="shared" si="20"/>
        <v>0</v>
      </c>
      <c r="N232" s="151">
        <f t="shared" si="21"/>
        <v>0</v>
      </c>
      <c r="O232" s="152">
        <f>+IF(OR($R232=Parametres!$G$2,$R232=Parametres!$G$3),J232,D232)</f>
        <v>0</v>
      </c>
      <c r="P232" s="1085">
        <f>+IF(OR($R232=Parametres!$G$2,$R232=Parametres!$G$3),K232,E232)</f>
        <v>0</v>
      </c>
      <c r="Q232" s="152">
        <f>+IF(OR($R232=Parametres!$G$2,$R232=Parametres!$G$3),L232,F232)</f>
        <v>0</v>
      </c>
      <c r="R232" s="151">
        <f t="shared" si="22"/>
        <v>0</v>
      </c>
      <c r="S232" s="150">
        <f t="shared" si="23"/>
        <v>0</v>
      </c>
      <c r="T232" s="151">
        <f t="shared" si="24"/>
        <v>0</v>
      </c>
      <c r="U232" s="153" t="e">
        <f>+VLOOKUP($M232,Data_Validation!$A:$D,1,0)</f>
        <v>#N/A</v>
      </c>
      <c r="V232" s="153" t="e">
        <f>+VLOOKUP($M232,Data_Validation!$A:$D,3,0)</f>
        <v>#N/A</v>
      </c>
      <c r="W232" s="153" t="e">
        <f>+VLOOKUP($M232,Data_Validation!$A:$D,4,0)</f>
        <v>#N/A</v>
      </c>
      <c r="X232" s="153" t="e">
        <f>+VLOOKUP($M232,Data_Validation!$A:$E,5,0)</f>
        <v>#N/A</v>
      </c>
      <c r="Y232" s="153" t="e">
        <f>+VLOOKUP($M232,Data_Validation!$A:$F,6,0)</f>
        <v>#N/A</v>
      </c>
    </row>
    <row r="233" spans="2:25" ht="15" customHeight="1">
      <c r="B233" s="1398"/>
      <c r="C233" s="1398"/>
      <c r="D233" s="1399"/>
      <c r="E233" s="1399"/>
      <c r="F233" s="1399"/>
      <c r="G233" s="1398"/>
      <c r="H233" s="1398"/>
      <c r="I233" s="1399"/>
      <c r="J233" s="1400"/>
      <c r="K233" s="1400"/>
      <c r="L233" s="1400"/>
      <c r="M233" s="150">
        <f t="shared" si="20"/>
        <v>0</v>
      </c>
      <c r="N233" s="151">
        <f t="shared" si="21"/>
        <v>0</v>
      </c>
      <c r="O233" s="152">
        <f>+IF(OR($R233=Parametres!$G$2,$R233=Parametres!$G$3),J233,D233)</f>
        <v>0</v>
      </c>
      <c r="P233" s="1085">
        <f>+IF(OR($R233=Parametres!$G$2,$R233=Parametres!$G$3),K233,E233)</f>
        <v>0</v>
      </c>
      <c r="Q233" s="152">
        <f>+IF(OR($R233=Parametres!$G$2,$R233=Parametres!$G$3),L233,F233)</f>
        <v>0</v>
      </c>
      <c r="R233" s="151">
        <f t="shared" si="22"/>
        <v>0</v>
      </c>
      <c r="S233" s="150">
        <f t="shared" si="23"/>
        <v>0</v>
      </c>
      <c r="T233" s="151">
        <f t="shared" si="24"/>
        <v>0</v>
      </c>
      <c r="U233" s="153" t="e">
        <f>+VLOOKUP($M233,Data_Validation!$A:$D,1,0)</f>
        <v>#N/A</v>
      </c>
      <c r="V233" s="153" t="e">
        <f>+VLOOKUP($M233,Data_Validation!$A:$D,3,0)</f>
        <v>#N/A</v>
      </c>
      <c r="W233" s="153" t="e">
        <f>+VLOOKUP($M233,Data_Validation!$A:$D,4,0)</f>
        <v>#N/A</v>
      </c>
      <c r="X233" s="153" t="e">
        <f>+VLOOKUP($M233,Data_Validation!$A:$E,5,0)</f>
        <v>#N/A</v>
      </c>
      <c r="Y233" s="153" t="e">
        <f>+VLOOKUP($M233,Data_Validation!$A:$F,6,0)</f>
        <v>#N/A</v>
      </c>
    </row>
    <row r="234" spans="2:25" ht="15.75" customHeight="1">
      <c r="B234" s="1398"/>
      <c r="C234" s="1401"/>
      <c r="D234" s="1400"/>
      <c r="E234" s="1400"/>
      <c r="F234" s="1400"/>
      <c r="G234" s="1398"/>
      <c r="H234" s="1398"/>
      <c r="I234" s="1399"/>
      <c r="J234" s="1399"/>
      <c r="K234" s="1399"/>
      <c r="L234" s="1399"/>
      <c r="M234" s="150">
        <f t="shared" si="20"/>
        <v>0</v>
      </c>
      <c r="N234" s="151">
        <f t="shared" si="21"/>
        <v>0</v>
      </c>
      <c r="O234" s="152">
        <f>+IF(OR($R234=Parametres!$G$2,$R234=Parametres!$G$3),J234,D234)</f>
        <v>0</v>
      </c>
      <c r="P234" s="1085">
        <f>+IF(OR($R234=Parametres!$G$2,$R234=Parametres!$G$3),K234,E234)</f>
        <v>0</v>
      </c>
      <c r="Q234" s="152">
        <f>+IF(OR($R234=Parametres!$G$2,$R234=Parametres!$G$3),L234,F234)</f>
        <v>0</v>
      </c>
      <c r="R234" s="151">
        <f t="shared" si="22"/>
        <v>0</v>
      </c>
      <c r="S234" s="150">
        <f t="shared" si="23"/>
        <v>0</v>
      </c>
      <c r="T234" s="151">
        <f t="shared" si="24"/>
        <v>0</v>
      </c>
      <c r="U234" s="153" t="e">
        <f>+VLOOKUP($M234,Data_Validation!$A:$D,1,0)</f>
        <v>#N/A</v>
      </c>
      <c r="V234" s="153" t="e">
        <f>+VLOOKUP($M234,Data_Validation!$A:$D,3,0)</f>
        <v>#N/A</v>
      </c>
      <c r="W234" s="153" t="e">
        <f>+VLOOKUP($M234,Data_Validation!$A:$D,4,0)</f>
        <v>#N/A</v>
      </c>
      <c r="X234" s="153" t="e">
        <f>+VLOOKUP($M234,Data_Validation!$A:$E,5,0)</f>
        <v>#N/A</v>
      </c>
      <c r="Y234" s="153" t="e">
        <f>+VLOOKUP($M234,Data_Validation!$A:$F,6,0)</f>
        <v>#N/A</v>
      </c>
    </row>
    <row r="235" spans="2:25" ht="15" customHeight="1">
      <c r="B235" s="1398"/>
      <c r="C235" s="1401"/>
      <c r="D235" s="1400"/>
      <c r="E235" s="1400"/>
      <c r="F235" s="1400"/>
      <c r="G235" s="1398"/>
      <c r="H235" s="1398"/>
      <c r="I235" s="1399"/>
      <c r="J235" s="1399"/>
      <c r="K235" s="1399"/>
      <c r="L235" s="1399"/>
      <c r="M235" s="150">
        <f t="shared" si="20"/>
        <v>0</v>
      </c>
      <c r="N235" s="151">
        <f t="shared" si="21"/>
        <v>0</v>
      </c>
      <c r="O235" s="152">
        <f>+IF(OR($R235=Parametres!$G$2,$R235=Parametres!$G$3),J235,D235)</f>
        <v>0</v>
      </c>
      <c r="P235" s="1085">
        <f>+IF(OR($R235=Parametres!$G$2,$R235=Parametres!$G$3),K235,E235)</f>
        <v>0</v>
      </c>
      <c r="Q235" s="152">
        <f>+IF(OR($R235=Parametres!$G$2,$R235=Parametres!$G$3),L235,F235)</f>
        <v>0</v>
      </c>
      <c r="R235" s="151">
        <f t="shared" si="22"/>
        <v>0</v>
      </c>
      <c r="S235" s="150">
        <f t="shared" si="23"/>
        <v>0</v>
      </c>
      <c r="T235" s="151">
        <f t="shared" si="24"/>
        <v>0</v>
      </c>
      <c r="U235" s="153" t="e">
        <f>+VLOOKUP($M235,Data_Validation!$A:$D,1,0)</f>
        <v>#N/A</v>
      </c>
      <c r="V235" s="153" t="e">
        <f>+VLOOKUP($M235,Data_Validation!$A:$D,3,0)</f>
        <v>#N/A</v>
      </c>
      <c r="W235" s="153" t="e">
        <f>+VLOOKUP($M235,Data_Validation!$A:$D,4,0)</f>
        <v>#N/A</v>
      </c>
      <c r="X235" s="153" t="e">
        <f>+VLOOKUP($M235,Data_Validation!$A:$E,5,0)</f>
        <v>#N/A</v>
      </c>
      <c r="Y235" s="153" t="e">
        <f>+VLOOKUP($M235,Data_Validation!$A:$F,6,0)</f>
        <v>#N/A</v>
      </c>
    </row>
    <row r="236" spans="2:25" ht="15" customHeight="1">
      <c r="B236" s="1398"/>
      <c r="C236" s="1398"/>
      <c r="D236" s="1399"/>
      <c r="E236" s="1399"/>
      <c r="F236" s="1399"/>
      <c r="G236" s="1398"/>
      <c r="H236" s="1398"/>
      <c r="I236" s="1399"/>
      <c r="J236" s="1400"/>
      <c r="K236" s="1400"/>
      <c r="L236" s="1400"/>
      <c r="M236" s="150">
        <f t="shared" si="20"/>
        <v>0</v>
      </c>
      <c r="N236" s="151">
        <f t="shared" si="21"/>
        <v>0</v>
      </c>
      <c r="O236" s="152">
        <f>+IF(OR($R236=Parametres!$G$2,$R236=Parametres!$G$3),J236,D236)</f>
        <v>0</v>
      </c>
      <c r="P236" s="1085">
        <f>+IF(OR($R236=Parametres!$G$2,$R236=Parametres!$G$3),K236,E236)</f>
        <v>0</v>
      </c>
      <c r="Q236" s="152">
        <f>+IF(OR($R236=Parametres!$G$2,$R236=Parametres!$G$3),L236,F236)</f>
        <v>0</v>
      </c>
      <c r="R236" s="151">
        <f t="shared" si="22"/>
        <v>0</v>
      </c>
      <c r="S236" s="150">
        <f t="shared" si="23"/>
        <v>0</v>
      </c>
      <c r="T236" s="151">
        <f t="shared" si="24"/>
        <v>0</v>
      </c>
      <c r="U236" s="153" t="e">
        <f>+VLOOKUP($M236,Data_Validation!$A:$D,1,0)</f>
        <v>#N/A</v>
      </c>
      <c r="V236" s="153" t="e">
        <f>+VLOOKUP($M236,Data_Validation!$A:$D,3,0)</f>
        <v>#N/A</v>
      </c>
      <c r="W236" s="153" t="e">
        <f>+VLOOKUP($M236,Data_Validation!$A:$D,4,0)</f>
        <v>#N/A</v>
      </c>
      <c r="X236" s="153" t="e">
        <f>+VLOOKUP($M236,Data_Validation!$A:$E,5,0)</f>
        <v>#N/A</v>
      </c>
      <c r="Y236" s="153" t="e">
        <f>+VLOOKUP($M236,Data_Validation!$A:$F,6,0)</f>
        <v>#N/A</v>
      </c>
    </row>
    <row r="237" spans="2:25" ht="15" customHeight="1">
      <c r="B237" s="1398"/>
      <c r="C237" s="1401"/>
      <c r="D237" s="1400"/>
      <c r="E237" s="1400"/>
      <c r="F237" s="1400"/>
      <c r="G237" s="1398"/>
      <c r="H237" s="1398"/>
      <c r="I237" s="1399"/>
      <c r="J237" s="1399"/>
      <c r="K237" s="1399"/>
      <c r="L237" s="1399"/>
      <c r="M237" s="150">
        <f t="shared" si="20"/>
        <v>0</v>
      </c>
      <c r="N237" s="151">
        <f t="shared" si="21"/>
        <v>0</v>
      </c>
      <c r="O237" s="152">
        <f>+IF(OR($R237=Parametres!$G$2,$R237=Parametres!$G$3),J237,D237)</f>
        <v>0</v>
      </c>
      <c r="P237" s="1083">
        <f>+IF(OR($R237=Parametres!$G$2,$R237=Parametres!$G$3),K237,E237)</f>
        <v>0</v>
      </c>
      <c r="Q237" s="152">
        <f>+IF(OR($R237=Parametres!$G$2,$R237=Parametres!$G$3),L237,F237)</f>
        <v>0</v>
      </c>
      <c r="R237" s="151">
        <f t="shared" si="22"/>
        <v>0</v>
      </c>
      <c r="S237" s="150">
        <f t="shared" si="23"/>
        <v>0</v>
      </c>
      <c r="T237" s="151">
        <f t="shared" si="24"/>
        <v>0</v>
      </c>
      <c r="U237" s="153" t="e">
        <f>+VLOOKUP($M237,Data_Validation!$A:$D,1,0)</f>
        <v>#N/A</v>
      </c>
      <c r="V237" s="153" t="e">
        <f>+VLOOKUP($M237,Data_Validation!$A:$D,3,0)</f>
        <v>#N/A</v>
      </c>
      <c r="W237" s="153" t="e">
        <f>+VLOOKUP($M237,Data_Validation!$A:$D,4,0)</f>
        <v>#N/A</v>
      </c>
      <c r="X237" s="153" t="e">
        <f>+VLOOKUP($M237,Data_Validation!$A:$E,5,0)</f>
        <v>#N/A</v>
      </c>
      <c r="Y237" s="153" t="e">
        <f>+VLOOKUP($M237,Data_Validation!$A:$F,6,0)</f>
        <v>#N/A</v>
      </c>
    </row>
    <row r="238" spans="2:25" ht="15.75" customHeight="1">
      <c r="B238" s="1398"/>
      <c r="C238" s="1398"/>
      <c r="D238" s="1399"/>
      <c r="E238" s="1399"/>
      <c r="F238" s="1399"/>
      <c r="G238" s="1398"/>
      <c r="H238" s="1398"/>
      <c r="I238" s="1399"/>
      <c r="J238" s="1400"/>
      <c r="K238" s="1400"/>
      <c r="L238" s="1400"/>
      <c r="M238" s="150">
        <f t="shared" si="20"/>
        <v>0</v>
      </c>
      <c r="N238" s="151">
        <f t="shared" si="21"/>
        <v>0</v>
      </c>
      <c r="O238" s="152">
        <f>+IF(OR($R238=Parametres!$G$2,$R238=Parametres!$G$3),J238,D238)</f>
        <v>0</v>
      </c>
      <c r="P238" s="1083">
        <f>+IF(OR($R238=Parametres!$G$2,$R238=Parametres!$G$3),K238,E238)</f>
        <v>0</v>
      </c>
      <c r="Q238" s="152">
        <f>+IF(OR($R238=Parametres!$G$2,$R238=Parametres!$G$3),L238,F238)</f>
        <v>0</v>
      </c>
      <c r="R238" s="151">
        <f t="shared" si="22"/>
        <v>0</v>
      </c>
      <c r="S238" s="150">
        <f t="shared" si="23"/>
        <v>0</v>
      </c>
      <c r="T238" s="151">
        <f t="shared" si="24"/>
        <v>0</v>
      </c>
      <c r="U238" s="153" t="e">
        <f>+VLOOKUP($M238,Data_Validation!$A:$D,1,0)</f>
        <v>#N/A</v>
      </c>
      <c r="V238" s="153" t="e">
        <f>+VLOOKUP($M238,Data_Validation!$A:$D,3,0)</f>
        <v>#N/A</v>
      </c>
      <c r="W238" s="153" t="e">
        <f>+VLOOKUP($M238,Data_Validation!$A:$D,4,0)</f>
        <v>#N/A</v>
      </c>
      <c r="X238" s="153" t="e">
        <f>+VLOOKUP($M238,Data_Validation!$A:$E,5,0)</f>
        <v>#N/A</v>
      </c>
      <c r="Y238" s="153" t="e">
        <f>+VLOOKUP($M238,Data_Validation!$A:$F,6,0)</f>
        <v>#N/A</v>
      </c>
    </row>
    <row r="239" spans="2:25" ht="15" customHeight="1">
      <c r="B239" s="1398"/>
      <c r="C239" s="1401"/>
      <c r="D239" s="1400"/>
      <c r="E239" s="1400"/>
      <c r="F239" s="1400"/>
      <c r="G239" s="1398"/>
      <c r="H239" s="1398"/>
      <c r="I239" s="1399"/>
      <c r="J239" s="1399"/>
      <c r="K239" s="1399"/>
      <c r="L239" s="1399"/>
      <c r="M239" s="150">
        <f t="shared" si="20"/>
        <v>0</v>
      </c>
      <c r="N239" s="151">
        <f t="shared" si="21"/>
        <v>0</v>
      </c>
      <c r="O239" s="152">
        <f>+IF(OR($R239=Parametres!$G$2,$R239=Parametres!$G$3),J239,D239)</f>
        <v>0</v>
      </c>
      <c r="P239" s="1085">
        <f>+IF(OR($R239=Parametres!$G$2,$R239=Parametres!$G$3),K239,E239)</f>
        <v>0</v>
      </c>
      <c r="Q239" s="152">
        <f>+IF(OR($R239=Parametres!$G$2,$R239=Parametres!$G$3),L239,F239)</f>
        <v>0</v>
      </c>
      <c r="R239" s="151">
        <f t="shared" si="22"/>
        <v>0</v>
      </c>
      <c r="S239" s="150">
        <f t="shared" si="23"/>
        <v>0</v>
      </c>
      <c r="T239" s="151">
        <f t="shared" si="24"/>
        <v>0</v>
      </c>
      <c r="U239" s="153" t="e">
        <f>+VLOOKUP($M239,Data_Validation!$A:$D,1,0)</f>
        <v>#N/A</v>
      </c>
      <c r="V239" s="153" t="e">
        <f>+VLOOKUP($M239,Data_Validation!$A:$D,3,0)</f>
        <v>#N/A</v>
      </c>
      <c r="W239" s="153" t="e">
        <f>+VLOOKUP($M239,Data_Validation!$A:$D,4,0)</f>
        <v>#N/A</v>
      </c>
      <c r="X239" s="153" t="e">
        <f>+VLOOKUP($M239,Data_Validation!$A:$E,5,0)</f>
        <v>#N/A</v>
      </c>
      <c r="Y239" s="153" t="e">
        <f>+VLOOKUP($M239,Data_Validation!$A:$F,6,0)</f>
        <v>#N/A</v>
      </c>
    </row>
    <row r="240" spans="2:25" ht="15" customHeight="1">
      <c r="B240" s="1398"/>
      <c r="C240" s="1398"/>
      <c r="D240" s="1399"/>
      <c r="E240" s="1399"/>
      <c r="F240" s="1399"/>
      <c r="G240" s="1398"/>
      <c r="H240" s="1398"/>
      <c r="I240" s="1399"/>
      <c r="J240" s="1400"/>
      <c r="K240" s="1400"/>
      <c r="L240" s="1400"/>
      <c r="M240" s="150">
        <f t="shared" si="20"/>
        <v>0</v>
      </c>
      <c r="N240" s="151">
        <f t="shared" si="21"/>
        <v>0</v>
      </c>
      <c r="O240" s="152">
        <f>+IF(OR($R240=Parametres!$G$2,$R240=Parametres!$G$3),J240,D240)</f>
        <v>0</v>
      </c>
      <c r="P240" s="1085">
        <f>+IF(OR($R240=Parametres!$G$2,$R240=Parametres!$G$3),K240,E240)</f>
        <v>0</v>
      </c>
      <c r="Q240" s="152">
        <f>+IF(OR($R240=Parametres!$G$2,$R240=Parametres!$G$3),L240,F240)</f>
        <v>0</v>
      </c>
      <c r="R240" s="151">
        <f t="shared" si="22"/>
        <v>0</v>
      </c>
      <c r="S240" s="150">
        <f t="shared" si="23"/>
        <v>0</v>
      </c>
      <c r="T240" s="151">
        <f t="shared" si="24"/>
        <v>0</v>
      </c>
      <c r="U240" s="153" t="e">
        <f>+VLOOKUP($M240,Data_Validation!$A:$D,1,0)</f>
        <v>#N/A</v>
      </c>
      <c r="V240" s="153" t="e">
        <f>+VLOOKUP($M240,Data_Validation!$A:$D,3,0)</f>
        <v>#N/A</v>
      </c>
      <c r="W240" s="153" t="e">
        <f>+VLOOKUP($M240,Data_Validation!$A:$D,4,0)</f>
        <v>#N/A</v>
      </c>
      <c r="X240" s="153" t="e">
        <f>+VLOOKUP($M240,Data_Validation!$A:$E,5,0)</f>
        <v>#N/A</v>
      </c>
      <c r="Y240" s="153" t="e">
        <f>+VLOOKUP($M240,Data_Validation!$A:$F,6,0)</f>
        <v>#N/A</v>
      </c>
    </row>
    <row r="241" spans="2:25" ht="15" customHeight="1">
      <c r="B241" s="1398"/>
      <c r="C241" s="1401"/>
      <c r="D241" s="1400"/>
      <c r="E241" s="1400"/>
      <c r="F241" s="1400"/>
      <c r="G241" s="1398"/>
      <c r="H241" s="1398"/>
      <c r="I241" s="1399"/>
      <c r="J241" s="1399"/>
      <c r="K241" s="1399"/>
      <c r="L241" s="1399"/>
      <c r="M241" s="150">
        <f t="shared" si="20"/>
        <v>0</v>
      </c>
      <c r="N241" s="151">
        <f t="shared" si="21"/>
        <v>0</v>
      </c>
      <c r="O241" s="152">
        <f>+IF(OR($R241=Parametres!$G$2,$R241=Parametres!$G$3),J241,D241)</f>
        <v>0</v>
      </c>
      <c r="P241" s="1085">
        <f>+IF(OR($R241=Parametres!$G$2,$R241=Parametres!$G$3),K241,E241)</f>
        <v>0</v>
      </c>
      <c r="Q241" s="152">
        <f>+IF(OR($R241=Parametres!$G$2,$R241=Parametres!$G$3),L241,F241)</f>
        <v>0</v>
      </c>
      <c r="R241" s="151">
        <f t="shared" si="22"/>
        <v>0</v>
      </c>
      <c r="S241" s="150">
        <f t="shared" si="23"/>
        <v>0</v>
      </c>
      <c r="T241" s="151">
        <f t="shared" si="24"/>
        <v>0</v>
      </c>
      <c r="U241" s="153" t="e">
        <f>+VLOOKUP($M241,Data_Validation!$A:$D,1,0)</f>
        <v>#N/A</v>
      </c>
      <c r="V241" s="153" t="e">
        <f>+VLOOKUP($M241,Data_Validation!$A:$D,3,0)</f>
        <v>#N/A</v>
      </c>
      <c r="W241" s="153" t="e">
        <f>+VLOOKUP($M241,Data_Validation!$A:$D,4,0)</f>
        <v>#N/A</v>
      </c>
      <c r="X241" s="153" t="e">
        <f>+VLOOKUP($M241,Data_Validation!$A:$E,5,0)</f>
        <v>#N/A</v>
      </c>
      <c r="Y241" s="153" t="e">
        <f>+VLOOKUP($M241,Data_Validation!$A:$F,6,0)</f>
        <v>#N/A</v>
      </c>
    </row>
    <row r="242" spans="2:25" ht="15" customHeight="1">
      <c r="B242" s="1398"/>
      <c r="C242" s="1398"/>
      <c r="D242" s="1399"/>
      <c r="E242" s="1399"/>
      <c r="F242" s="1399"/>
      <c r="G242" s="1398"/>
      <c r="H242" s="1398"/>
      <c r="I242" s="1399"/>
      <c r="J242" s="1400"/>
      <c r="K242" s="1400"/>
      <c r="L242" s="1400"/>
      <c r="M242" s="150">
        <f t="shared" si="20"/>
        <v>0</v>
      </c>
      <c r="N242" s="151">
        <f t="shared" si="21"/>
        <v>0</v>
      </c>
      <c r="O242" s="152">
        <f>+IF(OR($R242=Parametres!$G$2,$R242=Parametres!$G$3),J242,D242)</f>
        <v>0</v>
      </c>
      <c r="P242" s="1085">
        <f>+IF(OR($R242=Parametres!$G$2,$R242=Parametres!$G$3),K242,E242)</f>
        <v>0</v>
      </c>
      <c r="Q242" s="152">
        <f>+IF(OR($R242=Parametres!$G$2,$R242=Parametres!$G$3),L242,F242)</f>
        <v>0</v>
      </c>
      <c r="R242" s="151">
        <f t="shared" si="22"/>
        <v>0</v>
      </c>
      <c r="S242" s="150">
        <f t="shared" si="23"/>
        <v>0</v>
      </c>
      <c r="T242" s="151">
        <f t="shared" si="24"/>
        <v>0</v>
      </c>
      <c r="U242" s="153" t="e">
        <f>+VLOOKUP($M242,Data_Validation!$A:$D,1,0)</f>
        <v>#N/A</v>
      </c>
      <c r="V242" s="153" t="e">
        <f>+VLOOKUP($M242,Data_Validation!$A:$D,3,0)</f>
        <v>#N/A</v>
      </c>
      <c r="W242" s="153" t="e">
        <f>+VLOOKUP($M242,Data_Validation!$A:$D,4,0)</f>
        <v>#N/A</v>
      </c>
      <c r="X242" s="153" t="e">
        <f>+VLOOKUP($M242,Data_Validation!$A:$E,5,0)</f>
        <v>#N/A</v>
      </c>
      <c r="Y242" s="153" t="e">
        <f>+VLOOKUP($M242,Data_Validation!$A:$F,6,0)</f>
        <v>#N/A</v>
      </c>
    </row>
    <row r="243" spans="2:25" ht="15.75" customHeight="1">
      <c r="B243" s="1398"/>
      <c r="C243" s="1401"/>
      <c r="D243" s="1400"/>
      <c r="E243" s="1400"/>
      <c r="F243" s="1400"/>
      <c r="G243" s="1398"/>
      <c r="H243" s="1398"/>
      <c r="I243" s="1399"/>
      <c r="J243" s="1399"/>
      <c r="K243" s="1399"/>
      <c r="L243" s="1399"/>
      <c r="M243" s="150">
        <f t="shared" si="20"/>
        <v>0</v>
      </c>
      <c r="N243" s="151">
        <f t="shared" si="21"/>
        <v>0</v>
      </c>
      <c r="O243" s="152">
        <f>+IF(OR($R243=Parametres!$G$2,$R243=Parametres!$G$3),J243,D243)</f>
        <v>0</v>
      </c>
      <c r="P243" s="1083">
        <f>+IF(OR($R243=Parametres!$G$2,$R243=Parametres!$G$3),K243,E243)</f>
        <v>0</v>
      </c>
      <c r="Q243" s="152">
        <f>+IF(OR($R243=Parametres!$G$2,$R243=Parametres!$G$3),L243,F243)</f>
        <v>0</v>
      </c>
      <c r="R243" s="151">
        <f t="shared" si="22"/>
        <v>0</v>
      </c>
      <c r="S243" s="150">
        <f t="shared" si="23"/>
        <v>0</v>
      </c>
      <c r="T243" s="151">
        <f t="shared" si="24"/>
        <v>0</v>
      </c>
      <c r="U243" s="153" t="e">
        <f>+VLOOKUP($M243,Data_Validation!$A:$D,1,0)</f>
        <v>#N/A</v>
      </c>
      <c r="V243" s="153" t="e">
        <f>+VLOOKUP($M243,Data_Validation!$A:$D,3,0)</f>
        <v>#N/A</v>
      </c>
      <c r="W243" s="153" t="e">
        <f>+VLOOKUP($M243,Data_Validation!$A:$D,4,0)</f>
        <v>#N/A</v>
      </c>
      <c r="X243" s="153" t="e">
        <f>+VLOOKUP($M243,Data_Validation!$A:$E,5,0)</f>
        <v>#N/A</v>
      </c>
      <c r="Y243" s="153" t="e">
        <f>+VLOOKUP($M243,Data_Validation!$A:$F,6,0)</f>
        <v>#N/A</v>
      </c>
    </row>
    <row r="244" spans="2:25" ht="15" customHeight="1">
      <c r="B244" s="1398"/>
      <c r="C244" s="1398"/>
      <c r="D244" s="1399"/>
      <c r="E244" s="1399"/>
      <c r="F244" s="1399"/>
      <c r="G244" s="1398"/>
      <c r="H244" s="1398"/>
      <c r="I244" s="1399"/>
      <c r="J244" s="1400"/>
      <c r="K244" s="1400"/>
      <c r="L244" s="1400"/>
      <c r="M244" s="150">
        <f t="shared" si="20"/>
        <v>0</v>
      </c>
      <c r="N244" s="151">
        <f t="shared" si="21"/>
        <v>0</v>
      </c>
      <c r="O244" s="152">
        <f>+IF(OR($R244=Parametres!$G$2,$R244=Parametres!$G$3),J244,D244)</f>
        <v>0</v>
      </c>
      <c r="P244" s="1085">
        <f>+IF(OR($R244=Parametres!$G$2,$R244=Parametres!$G$3),K244,E244)</f>
        <v>0</v>
      </c>
      <c r="Q244" s="152">
        <f>+IF(OR($R244=Parametres!$G$2,$R244=Parametres!$G$3),L244,F244)</f>
        <v>0</v>
      </c>
      <c r="R244" s="151">
        <f t="shared" si="22"/>
        <v>0</v>
      </c>
      <c r="S244" s="150">
        <f t="shared" si="23"/>
        <v>0</v>
      </c>
      <c r="T244" s="151">
        <f t="shared" si="24"/>
        <v>0</v>
      </c>
      <c r="U244" s="153" t="e">
        <f>+VLOOKUP($M244,Data_Validation!$A:$D,1,0)</f>
        <v>#N/A</v>
      </c>
      <c r="V244" s="153" t="e">
        <f>+VLOOKUP($M244,Data_Validation!$A:$D,3,0)</f>
        <v>#N/A</v>
      </c>
      <c r="W244" s="153" t="e">
        <f>+VLOOKUP($M244,Data_Validation!$A:$D,4,0)</f>
        <v>#N/A</v>
      </c>
      <c r="X244" s="153" t="e">
        <f>+VLOOKUP($M244,Data_Validation!$A:$E,5,0)</f>
        <v>#N/A</v>
      </c>
      <c r="Y244" s="153" t="e">
        <f>+VLOOKUP($M244,Data_Validation!$A:$F,6,0)</f>
        <v>#N/A</v>
      </c>
    </row>
    <row r="245" spans="2:25" ht="15" customHeight="1">
      <c r="B245" s="1398"/>
      <c r="C245" s="1401"/>
      <c r="D245" s="1400"/>
      <c r="E245" s="1400"/>
      <c r="F245" s="1400"/>
      <c r="G245" s="1398"/>
      <c r="H245" s="1398"/>
      <c r="I245" s="1399"/>
      <c r="J245" s="1399"/>
      <c r="K245" s="1399"/>
      <c r="L245" s="1399"/>
      <c r="M245" s="150">
        <f t="shared" si="20"/>
        <v>0</v>
      </c>
      <c r="N245" s="151">
        <f t="shared" si="21"/>
        <v>0</v>
      </c>
      <c r="O245" s="152">
        <f>+IF(OR($R245=Parametres!$G$2,$R245=Parametres!$G$3),J245,D245)</f>
        <v>0</v>
      </c>
      <c r="P245" s="1085">
        <f>+IF(OR($R245=Parametres!$G$2,$R245=Parametres!$G$3),K245,E245)</f>
        <v>0</v>
      </c>
      <c r="Q245" s="152">
        <f>+IF(OR($R245=Parametres!$G$2,$R245=Parametres!$G$3),L245,F245)</f>
        <v>0</v>
      </c>
      <c r="R245" s="151">
        <f t="shared" si="22"/>
        <v>0</v>
      </c>
      <c r="S245" s="150">
        <f t="shared" si="23"/>
        <v>0</v>
      </c>
      <c r="T245" s="151">
        <f t="shared" si="24"/>
        <v>0</v>
      </c>
      <c r="U245" s="153" t="e">
        <f>+VLOOKUP($M245,Data_Validation!$A:$D,1,0)</f>
        <v>#N/A</v>
      </c>
      <c r="V245" s="153" t="e">
        <f>+VLOOKUP($M245,Data_Validation!$A:$D,3,0)</f>
        <v>#N/A</v>
      </c>
      <c r="W245" s="153" t="e">
        <f>+VLOOKUP($M245,Data_Validation!$A:$D,4,0)</f>
        <v>#N/A</v>
      </c>
      <c r="X245" s="153" t="e">
        <f>+VLOOKUP($M245,Data_Validation!$A:$E,5,0)</f>
        <v>#N/A</v>
      </c>
      <c r="Y245" s="153" t="e">
        <f>+VLOOKUP($M245,Data_Validation!$A:$F,6,0)</f>
        <v>#N/A</v>
      </c>
    </row>
    <row r="246" spans="2:25" ht="15" customHeight="1">
      <c r="B246" s="1398"/>
      <c r="C246" s="1398"/>
      <c r="D246" s="1399"/>
      <c r="E246" s="1399"/>
      <c r="F246" s="1399"/>
      <c r="G246" s="1398"/>
      <c r="H246" s="1398"/>
      <c r="I246" s="1399"/>
      <c r="J246" s="1400"/>
      <c r="K246" s="1400"/>
      <c r="L246" s="1400"/>
      <c r="M246" s="150">
        <f t="shared" si="20"/>
        <v>0</v>
      </c>
      <c r="N246" s="151">
        <f t="shared" si="21"/>
        <v>0</v>
      </c>
      <c r="O246" s="152">
        <f>+IF(OR($R246=Parametres!$G$2,$R246=Parametres!$G$3),J246,D246)</f>
        <v>0</v>
      </c>
      <c r="P246" s="1085">
        <f>+IF(OR($R246=Parametres!$G$2,$R246=Parametres!$G$3),K246,E246)</f>
        <v>0</v>
      </c>
      <c r="Q246" s="152">
        <f>+IF(OR($R246=Parametres!$G$2,$R246=Parametres!$G$3),L246,F246)</f>
        <v>0</v>
      </c>
      <c r="R246" s="151">
        <f t="shared" si="22"/>
        <v>0</v>
      </c>
      <c r="S246" s="150">
        <f t="shared" si="23"/>
        <v>0</v>
      </c>
      <c r="T246" s="151">
        <f t="shared" si="24"/>
        <v>0</v>
      </c>
      <c r="U246" s="153" t="e">
        <f>+VLOOKUP($M246,Data_Validation!$A:$D,1,0)</f>
        <v>#N/A</v>
      </c>
      <c r="V246" s="153" t="e">
        <f>+VLOOKUP($M246,Data_Validation!$A:$D,3,0)</f>
        <v>#N/A</v>
      </c>
      <c r="W246" s="153" t="e">
        <f>+VLOOKUP($M246,Data_Validation!$A:$D,4,0)</f>
        <v>#N/A</v>
      </c>
      <c r="X246" s="153" t="e">
        <f>+VLOOKUP($M246,Data_Validation!$A:$E,5,0)</f>
        <v>#N/A</v>
      </c>
      <c r="Y246" s="153" t="e">
        <f>+VLOOKUP($M246,Data_Validation!$A:$F,6,0)</f>
        <v>#N/A</v>
      </c>
    </row>
    <row r="247" spans="2:25" ht="15.75" customHeight="1">
      <c r="B247" s="1398"/>
      <c r="C247" s="1401"/>
      <c r="D247" s="1400"/>
      <c r="E247" s="1400"/>
      <c r="F247" s="1400"/>
      <c r="G247" s="1398"/>
      <c r="H247" s="1398"/>
      <c r="I247" s="1399"/>
      <c r="J247" s="1399"/>
      <c r="K247" s="1399"/>
      <c r="L247" s="1399"/>
      <c r="M247" s="150">
        <f t="shared" si="20"/>
        <v>0</v>
      </c>
      <c r="N247" s="151">
        <f t="shared" si="21"/>
        <v>0</v>
      </c>
      <c r="O247" s="152">
        <f>+IF(OR($R247=Parametres!$G$2,$R247=Parametres!$G$3),J247,D247)</f>
        <v>0</v>
      </c>
      <c r="P247" s="1085">
        <f>+IF(OR($R247=Parametres!$G$2,$R247=Parametres!$G$3),K247,E247)</f>
        <v>0</v>
      </c>
      <c r="Q247" s="152">
        <f>+IF(OR($R247=Parametres!$G$2,$R247=Parametres!$G$3),L247,F247)</f>
        <v>0</v>
      </c>
      <c r="R247" s="151">
        <f t="shared" si="22"/>
        <v>0</v>
      </c>
      <c r="S247" s="150">
        <f t="shared" si="23"/>
        <v>0</v>
      </c>
      <c r="T247" s="151">
        <f t="shared" si="24"/>
        <v>0</v>
      </c>
      <c r="U247" s="153" t="e">
        <f>+VLOOKUP($M247,Data_Validation!$A:$D,1,0)</f>
        <v>#N/A</v>
      </c>
      <c r="V247" s="153" t="e">
        <f>+VLOOKUP($M247,Data_Validation!$A:$D,3,0)</f>
        <v>#N/A</v>
      </c>
      <c r="W247" s="153" t="e">
        <f>+VLOOKUP($M247,Data_Validation!$A:$D,4,0)</f>
        <v>#N/A</v>
      </c>
      <c r="X247" s="153" t="e">
        <f>+VLOOKUP($M247,Data_Validation!$A:$E,5,0)</f>
        <v>#N/A</v>
      </c>
      <c r="Y247" s="153" t="e">
        <f>+VLOOKUP($M247,Data_Validation!$A:$F,6,0)</f>
        <v>#N/A</v>
      </c>
    </row>
    <row r="248" spans="2:25" ht="15" customHeight="1">
      <c r="B248" s="1398"/>
      <c r="C248" s="1398"/>
      <c r="D248" s="1399"/>
      <c r="E248" s="1399"/>
      <c r="F248" s="1399"/>
      <c r="G248" s="1398"/>
      <c r="H248" s="1398"/>
      <c r="I248" s="1399"/>
      <c r="J248" s="1400"/>
      <c r="K248" s="1400"/>
      <c r="L248" s="1400"/>
      <c r="M248" s="150">
        <f t="shared" si="20"/>
        <v>0</v>
      </c>
      <c r="N248" s="151">
        <f t="shared" si="21"/>
        <v>0</v>
      </c>
      <c r="O248" s="152">
        <f>+IF(OR($R248=Parametres!$G$2,$R248=Parametres!$G$3),J248,D248)</f>
        <v>0</v>
      </c>
      <c r="P248" s="1085">
        <f>+IF(OR($R248=Parametres!$G$2,$R248=Parametres!$G$3),K248,E248)</f>
        <v>0</v>
      </c>
      <c r="Q248" s="152">
        <f>+IF(OR($R248=Parametres!$G$2,$R248=Parametres!$G$3),L248,F248)</f>
        <v>0</v>
      </c>
      <c r="R248" s="151">
        <f t="shared" si="22"/>
        <v>0</v>
      </c>
      <c r="S248" s="150">
        <f t="shared" si="23"/>
        <v>0</v>
      </c>
      <c r="T248" s="151">
        <f t="shared" si="24"/>
        <v>0</v>
      </c>
      <c r="U248" s="153" t="e">
        <f>+VLOOKUP($M248,Data_Validation!$A:$D,1,0)</f>
        <v>#N/A</v>
      </c>
      <c r="V248" s="153" t="e">
        <f>+VLOOKUP($M248,Data_Validation!$A:$D,3,0)</f>
        <v>#N/A</v>
      </c>
      <c r="W248" s="153" t="e">
        <f>+VLOOKUP($M248,Data_Validation!$A:$D,4,0)</f>
        <v>#N/A</v>
      </c>
      <c r="X248" s="153" t="e">
        <f>+VLOOKUP($M248,Data_Validation!$A:$E,5,0)</f>
        <v>#N/A</v>
      </c>
      <c r="Y248" s="153" t="e">
        <f>+VLOOKUP($M248,Data_Validation!$A:$F,6,0)</f>
        <v>#N/A</v>
      </c>
    </row>
    <row r="249" spans="2:25" ht="15" customHeight="1">
      <c r="B249" s="1398"/>
      <c r="C249" s="1401"/>
      <c r="D249" s="1400"/>
      <c r="E249" s="1400"/>
      <c r="F249" s="1400"/>
      <c r="G249" s="1398"/>
      <c r="H249" s="1398"/>
      <c r="I249" s="1399"/>
      <c r="J249" s="1399"/>
      <c r="K249" s="1399"/>
      <c r="L249" s="1399"/>
      <c r="M249" s="150">
        <f t="shared" si="20"/>
        <v>0</v>
      </c>
      <c r="N249" s="151">
        <f t="shared" si="21"/>
        <v>0</v>
      </c>
      <c r="O249" s="152">
        <f>+IF(OR($R249=Parametres!$G$2,$R249=Parametres!$G$3),J249,D249)</f>
        <v>0</v>
      </c>
      <c r="P249" s="1085">
        <f>+IF(OR($R249=Parametres!$G$2,$R249=Parametres!$G$3),K249,E249)</f>
        <v>0</v>
      </c>
      <c r="Q249" s="152">
        <f>+IF(OR($R249=Parametres!$G$2,$R249=Parametres!$G$3),L249,F249)</f>
        <v>0</v>
      </c>
      <c r="R249" s="151">
        <f t="shared" si="22"/>
        <v>0</v>
      </c>
      <c r="S249" s="150">
        <f t="shared" si="23"/>
        <v>0</v>
      </c>
      <c r="T249" s="151">
        <f t="shared" si="24"/>
        <v>0</v>
      </c>
      <c r="U249" s="153" t="e">
        <f>+VLOOKUP($M249,Data_Validation!$A:$D,1,0)</f>
        <v>#N/A</v>
      </c>
      <c r="V249" s="153" t="e">
        <f>+VLOOKUP($M249,Data_Validation!$A:$D,3,0)</f>
        <v>#N/A</v>
      </c>
      <c r="W249" s="153" t="e">
        <f>+VLOOKUP($M249,Data_Validation!$A:$D,4,0)</f>
        <v>#N/A</v>
      </c>
      <c r="X249" s="153" t="e">
        <f>+VLOOKUP($M249,Data_Validation!$A:$E,5,0)</f>
        <v>#N/A</v>
      </c>
      <c r="Y249" s="153" t="e">
        <f>+VLOOKUP($M249,Data_Validation!$A:$F,6,0)</f>
        <v>#N/A</v>
      </c>
    </row>
    <row r="250" spans="2:25" ht="15" customHeight="1">
      <c r="B250" s="1398"/>
      <c r="C250" s="1398"/>
      <c r="D250" s="1399"/>
      <c r="E250" s="1399"/>
      <c r="F250" s="1399"/>
      <c r="G250" s="1398"/>
      <c r="H250" s="1398"/>
      <c r="I250" s="1399"/>
      <c r="J250" s="1400"/>
      <c r="K250" s="1400"/>
      <c r="L250" s="1400"/>
      <c r="M250" s="150">
        <f t="shared" si="20"/>
        <v>0</v>
      </c>
      <c r="N250" s="151">
        <f t="shared" si="21"/>
        <v>0</v>
      </c>
      <c r="O250" s="152">
        <f>+IF(OR($R250=Parametres!$G$2,$R250=Parametres!$G$3),J250,D250)</f>
        <v>0</v>
      </c>
      <c r="P250" s="1085">
        <f>+IF(OR($R250=Parametres!$G$2,$R250=Parametres!$G$3),K250,E250)</f>
        <v>0</v>
      </c>
      <c r="Q250" s="152">
        <f>+IF(OR($R250=Parametres!$G$2,$R250=Parametres!$G$3),L250,F250)</f>
        <v>0</v>
      </c>
      <c r="R250" s="151">
        <f t="shared" si="22"/>
        <v>0</v>
      </c>
      <c r="S250" s="150">
        <f t="shared" si="23"/>
        <v>0</v>
      </c>
      <c r="T250" s="151">
        <f t="shared" si="24"/>
        <v>0</v>
      </c>
      <c r="U250" s="153" t="e">
        <f>+VLOOKUP($M250,Data_Validation!$A:$D,1,0)</f>
        <v>#N/A</v>
      </c>
      <c r="V250" s="153" t="e">
        <f>+VLOOKUP($M250,Data_Validation!$A:$D,3,0)</f>
        <v>#N/A</v>
      </c>
      <c r="W250" s="153" t="e">
        <f>+VLOOKUP($M250,Data_Validation!$A:$D,4,0)</f>
        <v>#N/A</v>
      </c>
      <c r="X250" s="153" t="e">
        <f>+VLOOKUP($M250,Data_Validation!$A:$E,5,0)</f>
        <v>#N/A</v>
      </c>
      <c r="Y250" s="153" t="e">
        <f>+VLOOKUP($M250,Data_Validation!$A:$F,6,0)</f>
        <v>#N/A</v>
      </c>
    </row>
    <row r="251" spans="2:25" ht="15" customHeight="1">
      <c r="B251" s="1398"/>
      <c r="C251" s="1401"/>
      <c r="D251" s="1400"/>
      <c r="E251" s="1400"/>
      <c r="F251" s="1400"/>
      <c r="G251" s="1398"/>
      <c r="H251" s="1398"/>
      <c r="I251" s="1399"/>
      <c r="J251" s="1399"/>
      <c r="K251" s="1399"/>
      <c r="L251" s="1399"/>
      <c r="M251" s="150">
        <f t="shared" si="20"/>
        <v>0</v>
      </c>
      <c r="N251" s="151">
        <f t="shared" si="21"/>
        <v>0</v>
      </c>
      <c r="O251" s="152">
        <f>+IF(OR($R251=Parametres!$G$2,$R251=Parametres!$G$3),J251,D251)</f>
        <v>0</v>
      </c>
      <c r="P251" s="1085">
        <f>+IF(OR($R251=Parametres!$G$2,$R251=Parametres!$G$3),K251,E251)</f>
        <v>0</v>
      </c>
      <c r="Q251" s="152">
        <f>+IF(OR($R251=Parametres!$G$2,$R251=Parametres!$G$3),L251,F251)</f>
        <v>0</v>
      </c>
      <c r="R251" s="151">
        <f t="shared" si="22"/>
        <v>0</v>
      </c>
      <c r="S251" s="150">
        <f t="shared" si="23"/>
        <v>0</v>
      </c>
      <c r="T251" s="151">
        <f t="shared" si="24"/>
        <v>0</v>
      </c>
      <c r="U251" s="153" t="e">
        <f>+VLOOKUP($M251,Data_Validation!$A:$D,1,0)</f>
        <v>#N/A</v>
      </c>
      <c r="V251" s="153" t="e">
        <f>+VLOOKUP($M251,Data_Validation!$A:$D,3,0)</f>
        <v>#N/A</v>
      </c>
      <c r="W251" s="153" t="e">
        <f>+VLOOKUP($M251,Data_Validation!$A:$D,4,0)</f>
        <v>#N/A</v>
      </c>
      <c r="X251" s="153" t="e">
        <f>+VLOOKUP($M251,Data_Validation!$A:$E,5,0)</f>
        <v>#N/A</v>
      </c>
      <c r="Y251" s="153" t="e">
        <f>+VLOOKUP($M251,Data_Validation!$A:$F,6,0)</f>
        <v>#N/A</v>
      </c>
    </row>
    <row r="252" spans="2:25" ht="15.75" customHeight="1">
      <c r="B252" s="1398"/>
      <c r="C252" s="1401"/>
      <c r="D252" s="1400"/>
      <c r="E252" s="1400"/>
      <c r="F252" s="1400"/>
      <c r="G252" s="1398"/>
      <c r="H252" s="1398"/>
      <c r="I252" s="1399"/>
      <c r="J252" s="1399"/>
      <c r="K252" s="1399"/>
      <c r="L252" s="1399"/>
      <c r="M252" s="150">
        <f t="shared" si="20"/>
        <v>0</v>
      </c>
      <c r="N252" s="151">
        <f t="shared" si="21"/>
        <v>0</v>
      </c>
      <c r="O252" s="152">
        <f>+IF(OR($R252=Parametres!$G$2,$R252=Parametres!$G$3),J252,D252)</f>
        <v>0</v>
      </c>
      <c r="P252" s="1085">
        <f>+IF(OR($R252=Parametres!$G$2,$R252=Parametres!$G$3),K252,E252)</f>
        <v>0</v>
      </c>
      <c r="Q252" s="152">
        <f>+IF(OR($R252=Parametres!$G$2,$R252=Parametres!$G$3),L252,F252)</f>
        <v>0</v>
      </c>
      <c r="R252" s="151">
        <f t="shared" si="22"/>
        <v>0</v>
      </c>
      <c r="S252" s="150">
        <f t="shared" si="23"/>
        <v>0</v>
      </c>
      <c r="T252" s="151">
        <f t="shared" si="24"/>
        <v>0</v>
      </c>
      <c r="U252" s="153" t="e">
        <f>+VLOOKUP($M252,Data_Validation!$A:$D,1,0)</f>
        <v>#N/A</v>
      </c>
      <c r="V252" s="153" t="e">
        <f>+VLOOKUP($M252,Data_Validation!$A:$D,3,0)</f>
        <v>#N/A</v>
      </c>
      <c r="W252" s="153" t="e">
        <f>+VLOOKUP($M252,Data_Validation!$A:$D,4,0)</f>
        <v>#N/A</v>
      </c>
      <c r="X252" s="153" t="e">
        <f>+VLOOKUP($M252,Data_Validation!$A:$E,5,0)</f>
        <v>#N/A</v>
      </c>
      <c r="Y252" s="153" t="e">
        <f>+VLOOKUP($M252,Data_Validation!$A:$F,6,0)</f>
        <v>#N/A</v>
      </c>
    </row>
    <row r="253" spans="2:25" ht="15" customHeight="1">
      <c r="B253" s="1398"/>
      <c r="C253" s="1401"/>
      <c r="D253" s="1400"/>
      <c r="E253" s="1400"/>
      <c r="F253" s="1400"/>
      <c r="G253" s="1398"/>
      <c r="H253" s="1398"/>
      <c r="I253" s="1399"/>
      <c r="J253" s="1399"/>
      <c r="K253" s="1399"/>
      <c r="L253" s="1399"/>
      <c r="M253" s="150">
        <f t="shared" si="20"/>
        <v>0</v>
      </c>
      <c r="N253" s="151">
        <f t="shared" si="21"/>
        <v>0</v>
      </c>
      <c r="O253" s="152">
        <f>+IF(OR($R253=Parametres!$G$2,$R253=Parametres!$G$3),J253,D253)</f>
        <v>0</v>
      </c>
      <c r="P253" s="1085">
        <f>+IF(OR($R253=Parametres!$G$2,$R253=Parametres!$G$3),K253,E253)</f>
        <v>0</v>
      </c>
      <c r="Q253" s="152">
        <f>+IF(OR($R253=Parametres!$G$2,$R253=Parametres!$G$3),L253,F253)</f>
        <v>0</v>
      </c>
      <c r="R253" s="151">
        <f t="shared" si="22"/>
        <v>0</v>
      </c>
      <c r="S253" s="150">
        <f t="shared" si="23"/>
        <v>0</v>
      </c>
      <c r="T253" s="151">
        <f t="shared" si="24"/>
        <v>0</v>
      </c>
      <c r="U253" s="153" t="e">
        <f>+VLOOKUP($M253,Data_Validation!$A:$D,1,0)</f>
        <v>#N/A</v>
      </c>
      <c r="V253" s="153" t="e">
        <f>+VLOOKUP($M253,Data_Validation!$A:$D,3,0)</f>
        <v>#N/A</v>
      </c>
      <c r="W253" s="153" t="e">
        <f>+VLOOKUP($M253,Data_Validation!$A:$D,4,0)</f>
        <v>#N/A</v>
      </c>
      <c r="X253" s="153" t="e">
        <f>+VLOOKUP($M253,Data_Validation!$A:$E,5,0)</f>
        <v>#N/A</v>
      </c>
      <c r="Y253" s="153" t="e">
        <f>+VLOOKUP($M253,Data_Validation!$A:$F,6,0)</f>
        <v>#N/A</v>
      </c>
    </row>
    <row r="254" spans="2:25" ht="15" customHeight="1">
      <c r="B254" s="1398"/>
      <c r="C254" s="1401"/>
      <c r="D254" s="1400"/>
      <c r="E254" s="1400"/>
      <c r="F254" s="1400"/>
      <c r="G254" s="1398"/>
      <c r="H254" s="1398"/>
      <c r="I254" s="1399"/>
      <c r="J254" s="1399"/>
      <c r="K254" s="1399"/>
      <c r="L254" s="1399"/>
      <c r="M254" s="150">
        <f t="shared" si="20"/>
        <v>0</v>
      </c>
      <c r="N254" s="151">
        <f t="shared" si="21"/>
        <v>0</v>
      </c>
      <c r="O254" s="152">
        <f>+IF(OR($R254=Parametres!$G$2,$R254=Parametres!$G$3),J254,D254)</f>
        <v>0</v>
      </c>
      <c r="P254" s="1085">
        <f>+IF(OR($R254=Parametres!$G$2,$R254=Parametres!$G$3),K254,E254)</f>
        <v>0</v>
      </c>
      <c r="Q254" s="152">
        <f>+IF(OR($R254=Parametres!$G$2,$R254=Parametres!$G$3),L254,F254)</f>
        <v>0</v>
      </c>
      <c r="R254" s="151">
        <f t="shared" si="22"/>
        <v>0</v>
      </c>
      <c r="S254" s="150">
        <f t="shared" si="23"/>
        <v>0</v>
      </c>
      <c r="T254" s="151">
        <f t="shared" si="24"/>
        <v>0</v>
      </c>
      <c r="U254" s="153" t="e">
        <f>+VLOOKUP($M254,Data_Validation!$A:$D,1,0)</f>
        <v>#N/A</v>
      </c>
      <c r="V254" s="153" t="e">
        <f>+VLOOKUP($M254,Data_Validation!$A:$D,3,0)</f>
        <v>#N/A</v>
      </c>
      <c r="W254" s="153" t="e">
        <f>+VLOOKUP($M254,Data_Validation!$A:$D,4,0)</f>
        <v>#N/A</v>
      </c>
      <c r="X254" s="153" t="e">
        <f>+VLOOKUP($M254,Data_Validation!$A:$E,5,0)</f>
        <v>#N/A</v>
      </c>
      <c r="Y254" s="153" t="e">
        <f>+VLOOKUP($M254,Data_Validation!$A:$F,6,0)</f>
        <v>#N/A</v>
      </c>
    </row>
    <row r="255" spans="2:25" ht="15" customHeight="1">
      <c r="B255" s="1398"/>
      <c r="C255" s="1401"/>
      <c r="D255" s="1400"/>
      <c r="E255" s="1400"/>
      <c r="F255" s="1400"/>
      <c r="G255" s="1398"/>
      <c r="H255" s="1398"/>
      <c r="I255" s="1399"/>
      <c r="J255" s="1399"/>
      <c r="K255" s="1399"/>
      <c r="L255" s="1399"/>
      <c r="M255" s="150">
        <f t="shared" si="20"/>
        <v>0</v>
      </c>
      <c r="N255" s="151">
        <f t="shared" si="21"/>
        <v>0</v>
      </c>
      <c r="O255" s="152">
        <f>+IF(OR($R255=Parametres!$G$2,$R255=Parametres!$G$3),J255,D255)</f>
        <v>0</v>
      </c>
      <c r="P255" s="1085">
        <f>+IF(OR($R255=Parametres!$G$2,$R255=Parametres!$G$3),K255,E255)</f>
        <v>0</v>
      </c>
      <c r="Q255" s="152">
        <f>+IF(OR($R255=Parametres!$G$2,$R255=Parametres!$G$3),L255,F255)</f>
        <v>0</v>
      </c>
      <c r="R255" s="151">
        <f t="shared" si="22"/>
        <v>0</v>
      </c>
      <c r="S255" s="150">
        <f t="shared" si="23"/>
        <v>0</v>
      </c>
      <c r="T255" s="151">
        <f t="shared" si="24"/>
        <v>0</v>
      </c>
      <c r="U255" s="153" t="e">
        <f>+VLOOKUP($M255,Data_Validation!$A:$D,1,0)</f>
        <v>#N/A</v>
      </c>
      <c r="V255" s="153" t="e">
        <f>+VLOOKUP($M255,Data_Validation!$A:$D,3,0)</f>
        <v>#N/A</v>
      </c>
      <c r="W255" s="153" t="e">
        <f>+VLOOKUP($M255,Data_Validation!$A:$D,4,0)</f>
        <v>#N/A</v>
      </c>
      <c r="X255" s="153" t="e">
        <f>+VLOOKUP($M255,Data_Validation!$A:$E,5,0)</f>
        <v>#N/A</v>
      </c>
      <c r="Y255" s="153" t="e">
        <f>+VLOOKUP($M255,Data_Validation!$A:$F,6,0)</f>
        <v>#N/A</v>
      </c>
    </row>
    <row r="256" spans="2:25" ht="15.75" customHeight="1">
      <c r="B256" s="1398"/>
      <c r="C256" s="1401"/>
      <c r="D256" s="1400"/>
      <c r="E256" s="1400"/>
      <c r="F256" s="1400"/>
      <c r="G256" s="1398"/>
      <c r="H256" s="1398"/>
      <c r="I256" s="1399"/>
      <c r="J256" s="1399"/>
      <c r="K256" s="1399"/>
      <c r="L256" s="1399"/>
      <c r="M256" s="150">
        <f t="shared" si="20"/>
        <v>0</v>
      </c>
      <c r="N256" s="151">
        <f t="shared" si="21"/>
        <v>0</v>
      </c>
      <c r="O256" s="152">
        <f>+IF(OR($R256=Parametres!$G$2,$R256=Parametres!$G$3),J256,D256)</f>
        <v>0</v>
      </c>
      <c r="P256" s="1085">
        <f>+IF(OR($R256=Parametres!$G$2,$R256=Parametres!$G$3),K256,E256)</f>
        <v>0</v>
      </c>
      <c r="Q256" s="152">
        <f>+IF(OR($R256=Parametres!$G$2,$R256=Parametres!$G$3),L256,F256)</f>
        <v>0</v>
      </c>
      <c r="R256" s="151">
        <f t="shared" si="22"/>
        <v>0</v>
      </c>
      <c r="S256" s="150">
        <f t="shared" si="23"/>
        <v>0</v>
      </c>
      <c r="T256" s="151">
        <f t="shared" si="24"/>
        <v>0</v>
      </c>
      <c r="U256" s="153" t="e">
        <f>+VLOOKUP($M256,Data_Validation!$A:$D,1,0)</f>
        <v>#N/A</v>
      </c>
      <c r="V256" s="153" t="e">
        <f>+VLOOKUP($M256,Data_Validation!$A:$D,3,0)</f>
        <v>#N/A</v>
      </c>
      <c r="W256" s="153" t="e">
        <f>+VLOOKUP($M256,Data_Validation!$A:$D,4,0)</f>
        <v>#N/A</v>
      </c>
      <c r="X256" s="153" t="e">
        <f>+VLOOKUP($M256,Data_Validation!$A:$E,5,0)</f>
        <v>#N/A</v>
      </c>
      <c r="Y256" s="153" t="e">
        <f>+VLOOKUP($M256,Data_Validation!$A:$F,6,0)</f>
        <v>#N/A</v>
      </c>
    </row>
    <row r="257" spans="2:25" ht="15" customHeight="1">
      <c r="B257" s="1398"/>
      <c r="C257" s="1401"/>
      <c r="D257" s="1400"/>
      <c r="E257" s="1400"/>
      <c r="F257" s="1400"/>
      <c r="G257" s="1398"/>
      <c r="H257" s="1398"/>
      <c r="I257" s="1198"/>
      <c r="J257" s="1203"/>
      <c r="K257" s="1198"/>
      <c r="L257" s="1203"/>
      <c r="M257" s="150">
        <f t="shared" si="20"/>
        <v>0</v>
      </c>
      <c r="N257" s="151">
        <f t="shared" si="21"/>
        <v>0</v>
      </c>
      <c r="O257" s="152">
        <f>+IF(OR($R257=Parametres!$G$2,$R257=Parametres!$G$3),J257,D257)</f>
        <v>0</v>
      </c>
      <c r="P257" s="1085">
        <f>+IF(OR($R257=Parametres!$G$2,$R257=Parametres!$G$3),K257,E257)</f>
        <v>0</v>
      </c>
      <c r="Q257" s="152">
        <f>+IF(OR($R257=Parametres!$G$2,$R257=Parametres!$G$3),L257,F257)</f>
        <v>0</v>
      </c>
      <c r="R257" s="151">
        <f t="shared" si="22"/>
        <v>0</v>
      </c>
      <c r="S257" s="150">
        <f t="shared" si="23"/>
        <v>0</v>
      </c>
      <c r="T257" s="151">
        <f t="shared" si="24"/>
        <v>0</v>
      </c>
      <c r="U257" s="153" t="e">
        <f>+VLOOKUP($M257,Data_Validation!$A:$D,1,0)</f>
        <v>#N/A</v>
      </c>
      <c r="V257" s="153" t="e">
        <f>+VLOOKUP($M257,Data_Validation!$A:$D,3,0)</f>
        <v>#N/A</v>
      </c>
      <c r="W257" s="153" t="e">
        <f>+VLOOKUP($M257,Data_Validation!$A:$D,4,0)</f>
        <v>#N/A</v>
      </c>
      <c r="X257" s="153" t="e">
        <f>+VLOOKUP($M257,Data_Validation!$A:$E,5,0)</f>
        <v>#N/A</v>
      </c>
      <c r="Y257" s="153" t="e">
        <f>+VLOOKUP($M257,Data_Validation!$A:$F,6,0)</f>
        <v>#N/A</v>
      </c>
    </row>
    <row r="258" spans="2:25" ht="15" customHeight="1">
      <c r="B258" s="1398"/>
      <c r="C258" s="1401"/>
      <c r="D258" s="1400"/>
      <c r="E258" s="1400"/>
      <c r="F258" s="1400"/>
      <c r="G258" s="1398"/>
      <c r="H258" s="1398"/>
      <c r="I258" s="1198"/>
      <c r="J258" s="1203"/>
      <c r="K258" s="1198"/>
      <c r="L258" s="1203"/>
      <c r="M258" s="150">
        <f t="shared" si="20"/>
        <v>0</v>
      </c>
      <c r="N258" s="151">
        <f t="shared" si="21"/>
        <v>0</v>
      </c>
      <c r="O258" s="152">
        <f>+IF(OR($R258=Parametres!$G$2,$R258=Parametres!$G$3),J258,D258)</f>
        <v>0</v>
      </c>
      <c r="P258" s="1085">
        <f>+IF(OR($R258=Parametres!$G$2,$R258=Parametres!$G$3),K258,E258)</f>
        <v>0</v>
      </c>
      <c r="Q258" s="152">
        <f>+IF(OR($R258=Parametres!$G$2,$R258=Parametres!$G$3),L258,F258)</f>
        <v>0</v>
      </c>
      <c r="R258" s="151">
        <f t="shared" si="22"/>
        <v>0</v>
      </c>
      <c r="S258" s="150">
        <f t="shared" si="23"/>
        <v>0</v>
      </c>
      <c r="T258" s="151">
        <f t="shared" si="24"/>
        <v>0</v>
      </c>
      <c r="U258" s="153" t="e">
        <f>+VLOOKUP($M258,Data_Validation!$A:$D,1,0)</f>
        <v>#N/A</v>
      </c>
      <c r="V258" s="153" t="e">
        <f>+VLOOKUP($M258,Data_Validation!$A:$D,3,0)</f>
        <v>#N/A</v>
      </c>
      <c r="W258" s="153" t="e">
        <f>+VLOOKUP($M258,Data_Validation!$A:$D,4,0)</f>
        <v>#N/A</v>
      </c>
      <c r="X258" s="153" t="e">
        <f>+VLOOKUP($M258,Data_Validation!$A:$E,5,0)</f>
        <v>#N/A</v>
      </c>
      <c r="Y258" s="153" t="e">
        <f>+VLOOKUP($M258,Data_Validation!$A:$F,6,0)</f>
        <v>#N/A</v>
      </c>
    </row>
    <row r="259" spans="2:25" ht="15" customHeight="1">
      <c r="B259" s="1398"/>
      <c r="C259" s="1401"/>
      <c r="D259" s="1400"/>
      <c r="E259" s="1400"/>
      <c r="F259" s="1400"/>
      <c r="G259" s="1398"/>
      <c r="H259" s="1398"/>
      <c r="I259" s="1198"/>
      <c r="J259" s="1203"/>
      <c r="K259" s="1198"/>
      <c r="L259" s="1203"/>
      <c r="M259" s="150">
        <f t="shared" si="20"/>
        <v>0</v>
      </c>
      <c r="N259" s="151">
        <f t="shared" si="21"/>
        <v>0</v>
      </c>
      <c r="O259" s="152">
        <f>+IF(OR($R259=Parametres!$G$2,$R259=Parametres!$G$3),J259,D259)</f>
        <v>0</v>
      </c>
      <c r="P259" s="1083">
        <f>+IF(OR($R259=Parametres!$G$2,$R259=Parametres!$G$3),K259,E259)</f>
        <v>0</v>
      </c>
      <c r="Q259" s="152">
        <f>+IF(OR($R259=Parametres!$G$2,$R259=Parametres!$G$3),L259,F259)</f>
        <v>0</v>
      </c>
      <c r="R259" s="151">
        <f t="shared" si="22"/>
        <v>0</v>
      </c>
      <c r="S259" s="150">
        <f t="shared" si="23"/>
        <v>0</v>
      </c>
      <c r="T259" s="151">
        <f t="shared" si="24"/>
        <v>0</v>
      </c>
      <c r="U259" s="153" t="e">
        <f>+VLOOKUP($M259,Data_Validation!$A:$D,1,0)</f>
        <v>#N/A</v>
      </c>
      <c r="V259" s="153" t="e">
        <f>+VLOOKUP($M259,Data_Validation!$A:$D,3,0)</f>
        <v>#N/A</v>
      </c>
      <c r="W259" s="153" t="e">
        <f>+VLOOKUP($M259,Data_Validation!$A:$D,4,0)</f>
        <v>#N/A</v>
      </c>
      <c r="X259" s="153" t="e">
        <f>+VLOOKUP($M259,Data_Validation!$A:$E,5,0)</f>
        <v>#N/A</v>
      </c>
      <c r="Y259" s="153" t="e">
        <f>+VLOOKUP($M259,Data_Validation!$A:$F,6,0)</f>
        <v>#N/A</v>
      </c>
    </row>
    <row r="260" spans="2:25" ht="15" customHeight="1">
      <c r="B260" s="1398"/>
      <c r="C260" s="1401"/>
      <c r="D260" s="1400"/>
      <c r="E260" s="1400"/>
      <c r="F260" s="1400"/>
      <c r="G260" s="1398"/>
      <c r="H260" s="1398"/>
      <c r="I260" s="1198"/>
      <c r="J260" s="1203"/>
      <c r="K260" s="1198"/>
      <c r="L260" s="1203"/>
      <c r="M260" s="150">
        <f t="shared" si="20"/>
        <v>0</v>
      </c>
      <c r="N260" s="151">
        <f t="shared" si="21"/>
        <v>0</v>
      </c>
      <c r="O260" s="152">
        <f>+IF(OR($R260=Parametres!$G$2,$R260=Parametres!$G$3),J260,D260)</f>
        <v>0</v>
      </c>
      <c r="P260" s="1085">
        <f>+IF(OR($R260=Parametres!$G$2,$R260=Parametres!$G$3),K260,E260)</f>
        <v>0</v>
      </c>
      <c r="Q260" s="152">
        <f>+IF(OR($R260=Parametres!$G$2,$R260=Parametres!$G$3),L260,F260)</f>
        <v>0</v>
      </c>
      <c r="R260" s="151">
        <f t="shared" si="22"/>
        <v>0</v>
      </c>
      <c r="S260" s="150">
        <f t="shared" si="23"/>
        <v>0</v>
      </c>
      <c r="T260" s="151">
        <f t="shared" si="24"/>
        <v>0</v>
      </c>
      <c r="U260" s="153" t="e">
        <f>+VLOOKUP($M260,Data_Validation!$A:$D,1,0)</f>
        <v>#N/A</v>
      </c>
      <c r="V260" s="153" t="e">
        <f>+VLOOKUP($M260,Data_Validation!$A:$D,3,0)</f>
        <v>#N/A</v>
      </c>
      <c r="W260" s="153" t="e">
        <f>+VLOOKUP($M260,Data_Validation!$A:$D,4,0)</f>
        <v>#N/A</v>
      </c>
      <c r="X260" s="153" t="e">
        <f>+VLOOKUP($M260,Data_Validation!$A:$E,5,0)</f>
        <v>#N/A</v>
      </c>
      <c r="Y260" s="153" t="e">
        <f>+VLOOKUP($M260,Data_Validation!$A:$F,6,0)</f>
        <v>#N/A</v>
      </c>
    </row>
    <row r="261" spans="2:25" ht="15" customHeight="1">
      <c r="B261" s="1398"/>
      <c r="C261" s="1401"/>
      <c r="D261" s="1400"/>
      <c r="E261" s="1400"/>
      <c r="F261" s="1400"/>
      <c r="G261" s="1398"/>
      <c r="H261" s="1398"/>
      <c r="I261" s="948"/>
      <c r="J261" s="951"/>
      <c r="K261" s="951"/>
      <c r="L261" s="951"/>
      <c r="M261" s="150">
        <f t="shared" si="20"/>
        <v>0</v>
      </c>
      <c r="N261" s="151">
        <f t="shared" si="21"/>
        <v>0</v>
      </c>
      <c r="O261" s="152">
        <f>+IF(OR($R261=Parametres!$G$2,$R261=Parametres!$G$3),J261,D261)</f>
        <v>0</v>
      </c>
      <c r="P261" s="1085">
        <f>+IF(OR($R261=Parametres!$G$2,$R261=Parametres!$G$3),K261,E261)</f>
        <v>0</v>
      </c>
      <c r="Q261" s="152">
        <f>+IF(OR($R261=Parametres!$G$2,$R261=Parametres!$G$3),L261,F261)</f>
        <v>0</v>
      </c>
      <c r="R261" s="151">
        <f t="shared" si="22"/>
        <v>0</v>
      </c>
      <c r="S261" s="150">
        <f t="shared" si="23"/>
        <v>0</v>
      </c>
      <c r="T261" s="151">
        <f t="shared" si="24"/>
        <v>0</v>
      </c>
      <c r="U261" s="153" t="e">
        <f>+VLOOKUP($M261,Data_Validation!$A:$D,1,0)</f>
        <v>#N/A</v>
      </c>
      <c r="V261" s="153" t="e">
        <f>+VLOOKUP($M261,Data_Validation!$A:$D,3,0)</f>
        <v>#N/A</v>
      </c>
      <c r="W261" s="153" t="e">
        <f>+VLOOKUP($M261,Data_Validation!$A:$D,4,0)</f>
        <v>#N/A</v>
      </c>
      <c r="X261" s="153" t="e">
        <f>+VLOOKUP($M261,Data_Validation!$A:$E,5,0)</f>
        <v>#N/A</v>
      </c>
      <c r="Y261" s="153" t="e">
        <f>+VLOOKUP($M261,Data_Validation!$A:$F,6,0)</f>
        <v>#N/A</v>
      </c>
    </row>
    <row r="262" spans="2:25" ht="15.75" customHeight="1">
      <c r="B262" s="1398"/>
      <c r="C262" s="1401"/>
      <c r="D262" s="1400"/>
      <c r="E262" s="1400"/>
      <c r="F262" s="1400"/>
      <c r="G262" s="1398"/>
      <c r="H262" s="1398"/>
      <c r="I262" s="948"/>
      <c r="J262" s="1204"/>
      <c r="K262" s="949"/>
      <c r="L262" s="1204"/>
      <c r="M262" s="150">
        <f t="shared" si="20"/>
        <v>0</v>
      </c>
      <c r="N262" s="151">
        <f t="shared" si="21"/>
        <v>0</v>
      </c>
      <c r="O262" s="152">
        <f>+IF(OR($R262=Parametres!$G$2,$R262=Parametres!$G$3),J262,D262)</f>
        <v>0</v>
      </c>
      <c r="P262" s="1085">
        <f>+IF(OR($R262=Parametres!$G$2,$R262=Parametres!$G$3),K262,E262)</f>
        <v>0</v>
      </c>
      <c r="Q262" s="152">
        <f>+IF(OR($R262=Parametres!$G$2,$R262=Parametres!$G$3),L262,F262)</f>
        <v>0</v>
      </c>
      <c r="R262" s="151">
        <f t="shared" si="22"/>
        <v>0</v>
      </c>
      <c r="S262" s="150">
        <f t="shared" si="23"/>
        <v>0</v>
      </c>
      <c r="T262" s="151">
        <f t="shared" si="24"/>
        <v>0</v>
      </c>
      <c r="U262" s="153" t="e">
        <f>+VLOOKUP($M262,Data_Validation!$A:$D,1,0)</f>
        <v>#N/A</v>
      </c>
      <c r="V262" s="153" t="e">
        <f>+VLOOKUP($M262,Data_Validation!$A:$D,3,0)</f>
        <v>#N/A</v>
      </c>
      <c r="W262" s="153" t="e">
        <f>+VLOOKUP($M262,Data_Validation!$A:$D,4,0)</f>
        <v>#N/A</v>
      </c>
      <c r="X262" s="153" t="e">
        <f>+VLOOKUP($M262,Data_Validation!$A:$E,5,0)</f>
        <v>#N/A</v>
      </c>
      <c r="Y262" s="153" t="e">
        <f>+VLOOKUP($M262,Data_Validation!$A:$F,6,0)</f>
        <v>#N/A</v>
      </c>
    </row>
    <row r="263" spans="2:25" ht="15" customHeight="1">
      <c r="B263" s="1398"/>
      <c r="C263" s="1401"/>
      <c r="D263" s="1400"/>
      <c r="E263" s="1400"/>
      <c r="F263" s="1400"/>
      <c r="G263" s="1398"/>
      <c r="H263" s="1398"/>
      <c r="I263" s="1198"/>
      <c r="J263" s="1203"/>
      <c r="K263" s="1198"/>
      <c r="L263" s="1203"/>
      <c r="M263" s="150">
        <f t="shared" si="20"/>
        <v>0</v>
      </c>
      <c r="N263" s="151">
        <f t="shared" si="21"/>
        <v>0</v>
      </c>
      <c r="O263" s="152">
        <f>+IF(OR($R263=Parametres!$G$2,$R263=Parametres!$G$3),J263,D263)</f>
        <v>0</v>
      </c>
      <c r="P263" s="1085">
        <f>+IF(OR($R263=Parametres!$G$2,$R263=Parametres!$G$3),K263,E263)</f>
        <v>0</v>
      </c>
      <c r="Q263" s="152">
        <f>+IF(OR($R263=Parametres!$G$2,$R263=Parametres!$G$3),L263,F263)</f>
        <v>0</v>
      </c>
      <c r="R263" s="151">
        <f t="shared" si="22"/>
        <v>0</v>
      </c>
      <c r="S263" s="150">
        <f t="shared" si="23"/>
        <v>0</v>
      </c>
      <c r="T263" s="151">
        <f t="shared" si="24"/>
        <v>0</v>
      </c>
      <c r="U263" s="153" t="e">
        <f>+VLOOKUP($M263,Data_Validation!$A:$D,1,0)</f>
        <v>#N/A</v>
      </c>
      <c r="V263" s="153" t="e">
        <f>+VLOOKUP($M263,Data_Validation!$A:$D,3,0)</f>
        <v>#N/A</v>
      </c>
      <c r="W263" s="153" t="e">
        <f>+VLOOKUP($M263,Data_Validation!$A:$D,4,0)</f>
        <v>#N/A</v>
      </c>
      <c r="X263" s="153" t="e">
        <f>+VLOOKUP($M263,Data_Validation!$A:$E,5,0)</f>
        <v>#N/A</v>
      </c>
      <c r="Y263" s="153" t="e">
        <f>+VLOOKUP($M263,Data_Validation!$A:$F,6,0)</f>
        <v>#N/A</v>
      </c>
    </row>
    <row r="264" spans="2:25" ht="15" customHeight="1">
      <c r="B264" s="1398"/>
      <c r="C264" s="1401"/>
      <c r="D264" s="1400"/>
      <c r="E264" s="1400"/>
      <c r="F264" s="1400"/>
      <c r="G264" s="1398"/>
      <c r="H264" s="1398"/>
      <c r="I264" s="1198"/>
      <c r="J264" s="1199"/>
      <c r="K264" s="1199"/>
      <c r="L264" s="1199"/>
      <c r="M264" s="150">
        <f t="shared" si="20"/>
        <v>0</v>
      </c>
      <c r="N264" s="151">
        <f t="shared" si="21"/>
        <v>0</v>
      </c>
      <c r="O264" s="152">
        <f>+IF(OR($R264=Parametres!$G$2,$R264=Parametres!$G$3),J264,D264)</f>
        <v>0</v>
      </c>
      <c r="P264" s="1083">
        <f>+IF(OR($R264=Parametres!$G$2,$R264=Parametres!$G$3),K264,E264)</f>
        <v>0</v>
      </c>
      <c r="Q264" s="152">
        <f>+IF(OR($R264=Parametres!$G$2,$R264=Parametres!$G$3),L264,F264)</f>
        <v>0</v>
      </c>
      <c r="R264" s="151">
        <f t="shared" si="22"/>
        <v>0</v>
      </c>
      <c r="S264" s="150">
        <f t="shared" si="23"/>
        <v>0</v>
      </c>
      <c r="T264" s="151">
        <f t="shared" si="24"/>
        <v>0</v>
      </c>
      <c r="U264" s="153" t="e">
        <f>+VLOOKUP($M264,Data_Validation!$A:$D,1,0)</f>
        <v>#N/A</v>
      </c>
      <c r="V264" s="153" t="e">
        <f>+VLOOKUP($M264,Data_Validation!$A:$D,3,0)</f>
        <v>#N/A</v>
      </c>
      <c r="W264" s="153" t="e">
        <f>+VLOOKUP($M264,Data_Validation!$A:$D,4,0)</f>
        <v>#N/A</v>
      </c>
      <c r="X264" s="153" t="e">
        <f>+VLOOKUP($M264,Data_Validation!$A:$E,5,0)</f>
        <v>#N/A</v>
      </c>
      <c r="Y264" s="153" t="e">
        <f>+VLOOKUP($M264,Data_Validation!$A:$F,6,0)</f>
        <v>#N/A</v>
      </c>
    </row>
    <row r="265" spans="2:25" ht="15" customHeight="1">
      <c r="B265" s="1398"/>
      <c r="C265" s="1401"/>
      <c r="D265" s="1400"/>
      <c r="E265" s="1400"/>
      <c r="F265" s="1400"/>
      <c r="G265" s="1398"/>
      <c r="H265" s="1398"/>
      <c r="I265" s="1198"/>
      <c r="J265" s="1198"/>
      <c r="K265" s="1198"/>
      <c r="L265" s="1198"/>
      <c r="M265" s="150">
        <f t="shared" ref="M265:M328" si="25">+C265</f>
        <v>0</v>
      </c>
      <c r="N265" s="151">
        <f t="shared" ref="N265:N328" si="26">+B265</f>
        <v>0</v>
      </c>
      <c r="O265" s="152">
        <f>+IF(OR($R265=Parametres!$G$2,$R265=Parametres!$G$3),J265,D265)</f>
        <v>0</v>
      </c>
      <c r="P265" s="1083">
        <f>+IF(OR($R265=Parametres!$G$2,$R265=Parametres!$G$3),K265,E265)</f>
        <v>0</v>
      </c>
      <c r="Q265" s="152">
        <f>+IF(OR($R265=Parametres!$G$2,$R265=Parametres!$G$3),L265,F265)</f>
        <v>0</v>
      </c>
      <c r="R265" s="151">
        <f t="shared" ref="R265:R328" si="27">+G265</f>
        <v>0</v>
      </c>
      <c r="S265" s="150">
        <f t="shared" ref="S265:S328" si="28">+H265</f>
        <v>0</v>
      </c>
      <c r="T265" s="151">
        <f t="shared" ref="T265:T328" si="29">+I265</f>
        <v>0</v>
      </c>
      <c r="U265" s="153" t="e">
        <f>+VLOOKUP($M265,Data_Validation!$A:$D,1,0)</f>
        <v>#N/A</v>
      </c>
      <c r="V265" s="153" t="e">
        <f>+VLOOKUP($M265,Data_Validation!$A:$D,3,0)</f>
        <v>#N/A</v>
      </c>
      <c r="W265" s="153" t="e">
        <f>+VLOOKUP($M265,Data_Validation!$A:$D,4,0)</f>
        <v>#N/A</v>
      </c>
      <c r="X265" s="153" t="e">
        <f>+VLOOKUP($M265,Data_Validation!$A:$E,5,0)</f>
        <v>#N/A</v>
      </c>
      <c r="Y265" s="153" t="e">
        <f>+VLOOKUP($M265,Data_Validation!$A:$F,6,0)</f>
        <v>#N/A</v>
      </c>
    </row>
    <row r="266" spans="2:25" ht="15" customHeight="1">
      <c r="B266" s="1398"/>
      <c r="C266" s="1401"/>
      <c r="D266" s="1400"/>
      <c r="E266" s="1400"/>
      <c r="F266" s="1400"/>
      <c r="G266" s="1398"/>
      <c r="H266" s="1398"/>
      <c r="I266" s="1198"/>
      <c r="J266" s="1203"/>
      <c r="K266" s="1198"/>
      <c r="L266" s="1203"/>
      <c r="M266" s="150">
        <f t="shared" si="25"/>
        <v>0</v>
      </c>
      <c r="N266" s="151">
        <f t="shared" si="26"/>
        <v>0</v>
      </c>
      <c r="O266" s="152">
        <f>+IF(OR($R266=Parametres!$G$2,$R266=Parametres!$G$3),J266,D266)</f>
        <v>0</v>
      </c>
      <c r="P266" s="1085">
        <f>+IF(OR($R266=Parametres!$G$2,$R266=Parametres!$G$3),K266,E266)</f>
        <v>0</v>
      </c>
      <c r="Q266" s="152">
        <f>+IF(OR($R266=Parametres!$G$2,$R266=Parametres!$G$3),L266,F266)</f>
        <v>0</v>
      </c>
      <c r="R266" s="151">
        <f t="shared" si="27"/>
        <v>0</v>
      </c>
      <c r="S266" s="150">
        <f t="shared" si="28"/>
        <v>0</v>
      </c>
      <c r="T266" s="151">
        <f t="shared" si="29"/>
        <v>0</v>
      </c>
      <c r="U266" s="153" t="e">
        <f>+VLOOKUP($M266,Data_Validation!$A:$D,1,0)</f>
        <v>#N/A</v>
      </c>
      <c r="V266" s="153" t="e">
        <f>+VLOOKUP($M266,Data_Validation!$A:$D,3,0)</f>
        <v>#N/A</v>
      </c>
      <c r="W266" s="153" t="e">
        <f>+VLOOKUP($M266,Data_Validation!$A:$D,4,0)</f>
        <v>#N/A</v>
      </c>
      <c r="X266" s="153" t="e">
        <f>+VLOOKUP($M266,Data_Validation!$A:$E,5,0)</f>
        <v>#N/A</v>
      </c>
      <c r="Y266" s="153" t="e">
        <f>+VLOOKUP($M266,Data_Validation!$A:$F,6,0)</f>
        <v>#N/A</v>
      </c>
    </row>
    <row r="267" spans="2:25" ht="15" customHeight="1">
      <c r="B267" s="1398"/>
      <c r="C267" s="1401"/>
      <c r="D267" s="1400"/>
      <c r="E267" s="1400"/>
      <c r="F267" s="1400"/>
      <c r="G267" s="1398"/>
      <c r="H267" s="1398"/>
      <c r="I267" s="1198"/>
      <c r="J267" s="1198"/>
      <c r="K267" s="1198"/>
      <c r="L267" s="1198"/>
      <c r="M267" s="150">
        <f t="shared" si="25"/>
        <v>0</v>
      </c>
      <c r="N267" s="151">
        <f t="shared" si="26"/>
        <v>0</v>
      </c>
      <c r="O267" s="152">
        <f>+IF(OR($R267=Parametres!$G$2,$R267=Parametres!$G$3),J267,D267)</f>
        <v>0</v>
      </c>
      <c r="P267" s="1085">
        <f>+IF(OR($R267=Parametres!$G$2,$R267=Parametres!$G$3),K267,E267)</f>
        <v>0</v>
      </c>
      <c r="Q267" s="152">
        <f>+IF(OR($R267=Parametres!$G$2,$R267=Parametres!$G$3),L267,F267)</f>
        <v>0</v>
      </c>
      <c r="R267" s="151">
        <f t="shared" si="27"/>
        <v>0</v>
      </c>
      <c r="S267" s="150">
        <f t="shared" si="28"/>
        <v>0</v>
      </c>
      <c r="T267" s="151">
        <f t="shared" si="29"/>
        <v>0</v>
      </c>
      <c r="U267" s="153" t="e">
        <f>+VLOOKUP($M267,Data_Validation!$A:$D,1,0)</f>
        <v>#N/A</v>
      </c>
      <c r="V267" s="153" t="e">
        <f>+VLOOKUP($M267,Data_Validation!$A:$D,3,0)</f>
        <v>#N/A</v>
      </c>
      <c r="W267" s="153" t="e">
        <f>+VLOOKUP($M267,Data_Validation!$A:$D,4,0)</f>
        <v>#N/A</v>
      </c>
      <c r="X267" s="153" t="e">
        <f>+VLOOKUP($M267,Data_Validation!$A:$E,5,0)</f>
        <v>#N/A</v>
      </c>
      <c r="Y267" s="153" t="e">
        <f>+VLOOKUP($M267,Data_Validation!$A:$F,6,0)</f>
        <v>#N/A</v>
      </c>
    </row>
    <row r="268" spans="2:25" ht="15" customHeight="1">
      <c r="B268" s="1398"/>
      <c r="C268" s="1401"/>
      <c r="D268" s="1400"/>
      <c r="E268" s="1400"/>
      <c r="F268" s="1400"/>
      <c r="G268" s="1398"/>
      <c r="H268" s="1398"/>
      <c r="I268" s="989"/>
      <c r="J268" s="989"/>
      <c r="K268" s="989"/>
      <c r="L268" s="989"/>
      <c r="M268" s="150">
        <f t="shared" si="25"/>
        <v>0</v>
      </c>
      <c r="N268" s="151">
        <f t="shared" si="26"/>
        <v>0</v>
      </c>
      <c r="O268" s="152">
        <f>+IF(OR($R268=Parametres!$G$2,$R268=Parametres!$G$3),J268,D268)</f>
        <v>0</v>
      </c>
      <c r="P268" s="1085">
        <f>+IF(OR($R268=Parametres!$G$2,$R268=Parametres!$G$3),K268,E268)</f>
        <v>0</v>
      </c>
      <c r="Q268" s="152">
        <f>+IF(OR($R268=Parametres!$G$2,$R268=Parametres!$G$3),L268,F268)</f>
        <v>0</v>
      </c>
      <c r="R268" s="151">
        <f t="shared" si="27"/>
        <v>0</v>
      </c>
      <c r="S268" s="150">
        <f t="shared" si="28"/>
        <v>0</v>
      </c>
      <c r="T268" s="151">
        <f t="shared" si="29"/>
        <v>0</v>
      </c>
      <c r="U268" s="153" t="e">
        <f>+VLOOKUP($M268,Data_Validation!$A:$D,1,0)</f>
        <v>#N/A</v>
      </c>
      <c r="V268" s="153" t="e">
        <f>+VLOOKUP($M268,Data_Validation!$A:$D,3,0)</f>
        <v>#N/A</v>
      </c>
      <c r="W268" s="153" t="e">
        <f>+VLOOKUP($M268,Data_Validation!$A:$D,4,0)</f>
        <v>#N/A</v>
      </c>
      <c r="X268" s="153" t="e">
        <f>+VLOOKUP($M268,Data_Validation!$A:$E,5,0)</f>
        <v>#N/A</v>
      </c>
      <c r="Y268" s="153" t="e">
        <f>+VLOOKUP($M268,Data_Validation!$A:$F,6,0)</f>
        <v>#N/A</v>
      </c>
    </row>
    <row r="269" spans="2:25" ht="15" customHeight="1">
      <c r="B269" s="1398"/>
      <c r="C269" s="1401"/>
      <c r="D269" s="1400"/>
      <c r="E269" s="1400"/>
      <c r="F269" s="1400"/>
      <c r="G269" s="1398"/>
      <c r="H269" s="1398"/>
      <c r="I269" s="948"/>
      <c r="J269" s="951"/>
      <c r="K269" s="951"/>
      <c r="L269" s="951"/>
      <c r="M269" s="150">
        <f t="shared" si="25"/>
        <v>0</v>
      </c>
      <c r="N269" s="151">
        <f t="shared" si="26"/>
        <v>0</v>
      </c>
      <c r="O269" s="152">
        <f>+IF(OR($R269=Parametres!$G$2,$R269=Parametres!$G$3),J269,D269)</f>
        <v>0</v>
      </c>
      <c r="P269" s="1085">
        <f>+IF(OR($R269=Parametres!$G$2,$R269=Parametres!$G$3),K269,E269)</f>
        <v>0</v>
      </c>
      <c r="Q269" s="152">
        <f>+IF(OR($R269=Parametres!$G$2,$R269=Parametres!$G$3),L269,F269)</f>
        <v>0</v>
      </c>
      <c r="R269" s="151">
        <f t="shared" si="27"/>
        <v>0</v>
      </c>
      <c r="S269" s="150">
        <f t="shared" si="28"/>
        <v>0</v>
      </c>
      <c r="T269" s="151">
        <f t="shared" si="29"/>
        <v>0</v>
      </c>
      <c r="U269" s="153" t="e">
        <f>+VLOOKUP($M269,Data_Validation!$A:$D,1,0)</f>
        <v>#N/A</v>
      </c>
      <c r="V269" s="153" t="e">
        <f>+VLOOKUP($M269,Data_Validation!$A:$D,3,0)</f>
        <v>#N/A</v>
      </c>
      <c r="W269" s="153" t="e">
        <f>+VLOOKUP($M269,Data_Validation!$A:$D,4,0)</f>
        <v>#N/A</v>
      </c>
      <c r="X269" s="153" t="e">
        <f>+VLOOKUP($M269,Data_Validation!$A:$E,5,0)</f>
        <v>#N/A</v>
      </c>
      <c r="Y269" s="153" t="e">
        <f>+VLOOKUP($M269,Data_Validation!$A:$F,6,0)</f>
        <v>#N/A</v>
      </c>
    </row>
    <row r="270" spans="2:25" ht="15" customHeight="1">
      <c r="B270" s="1398"/>
      <c r="C270" s="1401"/>
      <c r="D270" s="1400"/>
      <c r="E270" s="1400"/>
      <c r="F270" s="1400"/>
      <c r="G270" s="1398"/>
      <c r="H270" s="1398"/>
      <c r="I270" s="1195"/>
      <c r="J270" s="1196"/>
      <c r="K270" s="1196"/>
      <c r="L270" s="1196"/>
      <c r="M270" s="150">
        <f t="shared" si="25"/>
        <v>0</v>
      </c>
      <c r="N270" s="151">
        <f t="shared" si="26"/>
        <v>0</v>
      </c>
      <c r="O270" s="152">
        <f>+IF(OR($R270=Parametres!$G$2,$R270=Parametres!$G$3),J270,D270)</f>
        <v>0</v>
      </c>
      <c r="P270" s="1085">
        <f>+IF(OR($R270=Parametres!$G$2,$R270=Parametres!$G$3),K270,E270)</f>
        <v>0</v>
      </c>
      <c r="Q270" s="152">
        <f>+IF(OR($R270=Parametres!$G$2,$R270=Parametres!$G$3),L270,F270)</f>
        <v>0</v>
      </c>
      <c r="R270" s="151">
        <f t="shared" si="27"/>
        <v>0</v>
      </c>
      <c r="S270" s="150">
        <f t="shared" si="28"/>
        <v>0</v>
      </c>
      <c r="T270" s="151">
        <f t="shared" si="29"/>
        <v>0</v>
      </c>
      <c r="U270" s="153" t="e">
        <f>+VLOOKUP($M270,Data_Validation!$A:$D,1,0)</f>
        <v>#N/A</v>
      </c>
      <c r="V270" s="153" t="e">
        <f>+VLOOKUP($M270,Data_Validation!$A:$D,3,0)</f>
        <v>#N/A</v>
      </c>
      <c r="W270" s="153" t="e">
        <f>+VLOOKUP($M270,Data_Validation!$A:$D,4,0)</f>
        <v>#N/A</v>
      </c>
      <c r="X270" s="153" t="e">
        <f>+VLOOKUP($M270,Data_Validation!$A:$E,5,0)</f>
        <v>#N/A</v>
      </c>
      <c r="Y270" s="153" t="e">
        <f>+VLOOKUP($M270,Data_Validation!$A:$F,6,0)</f>
        <v>#N/A</v>
      </c>
    </row>
    <row r="271" spans="2:25" ht="15" customHeight="1">
      <c r="B271" s="1398"/>
      <c r="C271" s="1401"/>
      <c r="D271" s="1400"/>
      <c r="E271" s="1400"/>
      <c r="F271" s="1400"/>
      <c r="G271" s="1398"/>
      <c r="H271" s="1398"/>
      <c r="I271" s="1195"/>
      <c r="J271" s="1194"/>
      <c r="K271" s="1195"/>
      <c r="L271" s="1194"/>
      <c r="M271" s="150">
        <f t="shared" si="25"/>
        <v>0</v>
      </c>
      <c r="N271" s="151">
        <f t="shared" si="26"/>
        <v>0</v>
      </c>
      <c r="O271" s="152">
        <f>+IF(OR($R271=Parametres!$G$2,$R271=Parametres!$G$3),J271,D271)</f>
        <v>0</v>
      </c>
      <c r="P271" s="1085">
        <f>+IF(OR($R271=Parametres!$G$2,$R271=Parametres!$G$3),K271,E271)</f>
        <v>0</v>
      </c>
      <c r="Q271" s="152">
        <f>+IF(OR($R271=Parametres!$G$2,$R271=Parametres!$G$3),L271,F271)</f>
        <v>0</v>
      </c>
      <c r="R271" s="151">
        <f t="shared" si="27"/>
        <v>0</v>
      </c>
      <c r="S271" s="150">
        <f t="shared" si="28"/>
        <v>0</v>
      </c>
      <c r="T271" s="151">
        <f t="shared" si="29"/>
        <v>0</v>
      </c>
      <c r="U271" s="153" t="e">
        <f>+VLOOKUP($M271,Data_Validation!$A:$D,1,0)</f>
        <v>#N/A</v>
      </c>
      <c r="V271" s="153" t="e">
        <f>+VLOOKUP($M271,Data_Validation!$A:$D,3,0)</f>
        <v>#N/A</v>
      </c>
      <c r="W271" s="153" t="e">
        <f>+VLOOKUP($M271,Data_Validation!$A:$D,4,0)</f>
        <v>#N/A</v>
      </c>
      <c r="X271" s="153" t="e">
        <f>+VLOOKUP($M271,Data_Validation!$A:$E,5,0)</f>
        <v>#N/A</v>
      </c>
      <c r="Y271" s="153" t="e">
        <f>+VLOOKUP($M271,Data_Validation!$A:$F,6,0)</f>
        <v>#N/A</v>
      </c>
    </row>
    <row r="272" spans="2:25" ht="15.75" customHeight="1">
      <c r="B272" s="1398"/>
      <c r="C272" s="1401"/>
      <c r="D272" s="1400"/>
      <c r="E272" s="1400"/>
      <c r="F272" s="1400"/>
      <c r="G272" s="1398"/>
      <c r="H272" s="1398"/>
      <c r="I272" s="948"/>
      <c r="J272" s="949"/>
      <c r="K272" s="949"/>
      <c r="L272" s="949"/>
      <c r="M272" s="150">
        <f t="shared" si="25"/>
        <v>0</v>
      </c>
      <c r="N272" s="151">
        <f t="shared" si="26"/>
        <v>0</v>
      </c>
      <c r="O272" s="152">
        <f>+IF(OR($R272=Parametres!$G$2,$R272=Parametres!$G$3),J272,D272)</f>
        <v>0</v>
      </c>
      <c r="P272" s="1085">
        <f>+IF(OR($R272=Parametres!$G$2,$R272=Parametres!$G$3),K272,E272)</f>
        <v>0</v>
      </c>
      <c r="Q272" s="152">
        <f>+IF(OR($R272=Parametres!$G$2,$R272=Parametres!$G$3),L272,F272)</f>
        <v>0</v>
      </c>
      <c r="R272" s="151">
        <f t="shared" si="27"/>
        <v>0</v>
      </c>
      <c r="S272" s="150">
        <f t="shared" si="28"/>
        <v>0</v>
      </c>
      <c r="T272" s="151">
        <f t="shared" si="29"/>
        <v>0</v>
      </c>
      <c r="U272" s="153" t="e">
        <f>+VLOOKUP($M272,Data_Validation!$A:$D,1,0)</f>
        <v>#N/A</v>
      </c>
      <c r="V272" s="153" t="e">
        <f>+VLOOKUP($M272,Data_Validation!$A:$D,3,0)</f>
        <v>#N/A</v>
      </c>
      <c r="W272" s="153" t="e">
        <f>+VLOOKUP($M272,Data_Validation!$A:$D,4,0)</f>
        <v>#N/A</v>
      </c>
      <c r="X272" s="153" t="e">
        <f>+VLOOKUP($M272,Data_Validation!$A:$E,5,0)</f>
        <v>#N/A</v>
      </c>
      <c r="Y272" s="153" t="e">
        <f>+VLOOKUP($M272,Data_Validation!$A:$F,6,0)</f>
        <v>#N/A</v>
      </c>
    </row>
    <row r="273" spans="2:25" ht="15" customHeight="1">
      <c r="B273" s="1398"/>
      <c r="C273" s="1401"/>
      <c r="D273" s="1400"/>
      <c r="E273" s="1400"/>
      <c r="F273" s="1400"/>
      <c r="G273" s="1398"/>
      <c r="H273" s="1398"/>
      <c r="I273" s="1195"/>
      <c r="J273" s="1196"/>
      <c r="K273" s="1196"/>
      <c r="L273" s="1196"/>
      <c r="M273" s="150">
        <f t="shared" si="25"/>
        <v>0</v>
      </c>
      <c r="N273" s="151">
        <f t="shared" si="26"/>
        <v>0</v>
      </c>
      <c r="O273" s="152">
        <f>+IF(OR($R273=Parametres!$G$2,$R273=Parametres!$G$3),J273,D273)</f>
        <v>0</v>
      </c>
      <c r="P273" s="1083">
        <f>+IF(OR($R273=Parametres!$G$2,$R273=Parametres!$G$3),K273,E273)</f>
        <v>0</v>
      </c>
      <c r="Q273" s="152">
        <f>+IF(OR($R273=Parametres!$G$2,$R273=Parametres!$G$3),L273,F273)</f>
        <v>0</v>
      </c>
      <c r="R273" s="151">
        <f t="shared" si="27"/>
        <v>0</v>
      </c>
      <c r="S273" s="150">
        <f t="shared" si="28"/>
        <v>0</v>
      </c>
      <c r="T273" s="151">
        <f t="shared" si="29"/>
        <v>0</v>
      </c>
      <c r="U273" s="153" t="e">
        <f>+VLOOKUP($M273,Data_Validation!$A:$D,1,0)</f>
        <v>#N/A</v>
      </c>
      <c r="V273" s="153" t="e">
        <f>+VLOOKUP($M273,Data_Validation!$A:$D,3,0)</f>
        <v>#N/A</v>
      </c>
      <c r="W273" s="153" t="e">
        <f>+VLOOKUP($M273,Data_Validation!$A:$D,4,0)</f>
        <v>#N/A</v>
      </c>
      <c r="X273" s="153" t="e">
        <f>+VLOOKUP($M273,Data_Validation!$A:$E,5,0)</f>
        <v>#N/A</v>
      </c>
      <c r="Y273" s="153" t="e">
        <f>+VLOOKUP($M273,Data_Validation!$A:$F,6,0)</f>
        <v>#N/A</v>
      </c>
    </row>
    <row r="274" spans="2:25" ht="15" customHeight="1">
      <c r="B274" s="1398"/>
      <c r="C274" s="1401"/>
      <c r="D274" s="1400"/>
      <c r="E274" s="1400"/>
      <c r="F274" s="1400"/>
      <c r="G274" s="1398"/>
      <c r="H274" s="1398"/>
      <c r="I274" s="1195"/>
      <c r="J274" s="1194"/>
      <c r="K274" s="1195"/>
      <c r="L274" s="1194"/>
      <c r="M274" s="150">
        <f t="shared" si="25"/>
        <v>0</v>
      </c>
      <c r="N274" s="151">
        <f t="shared" si="26"/>
        <v>0</v>
      </c>
      <c r="O274" s="152">
        <f>+IF(OR($R274=Parametres!$G$2,$R274=Parametres!$G$3),J274,D274)</f>
        <v>0</v>
      </c>
      <c r="P274" s="1085">
        <f>+IF(OR($R274=Parametres!$G$2,$R274=Parametres!$G$3),K274,E274)</f>
        <v>0</v>
      </c>
      <c r="Q274" s="152">
        <f>+IF(OR($R274=Parametres!$G$2,$R274=Parametres!$G$3),L274,F274)</f>
        <v>0</v>
      </c>
      <c r="R274" s="151">
        <f t="shared" si="27"/>
        <v>0</v>
      </c>
      <c r="S274" s="150">
        <f t="shared" si="28"/>
        <v>0</v>
      </c>
      <c r="T274" s="151">
        <f t="shared" si="29"/>
        <v>0</v>
      </c>
      <c r="U274" s="153" t="e">
        <f>+VLOOKUP($M274,Data_Validation!$A:$D,1,0)</f>
        <v>#N/A</v>
      </c>
      <c r="V274" s="153" t="e">
        <f>+VLOOKUP($M274,Data_Validation!$A:$D,3,0)</f>
        <v>#N/A</v>
      </c>
      <c r="W274" s="153" t="e">
        <f>+VLOOKUP($M274,Data_Validation!$A:$D,4,0)</f>
        <v>#N/A</v>
      </c>
      <c r="X274" s="153" t="e">
        <f>+VLOOKUP($M274,Data_Validation!$A:$E,5,0)</f>
        <v>#N/A</v>
      </c>
      <c r="Y274" s="153" t="e">
        <f>+VLOOKUP($M274,Data_Validation!$A:$F,6,0)</f>
        <v>#N/A</v>
      </c>
    </row>
    <row r="275" spans="2:25" ht="15" customHeight="1">
      <c r="B275" s="1398"/>
      <c r="C275" s="1401"/>
      <c r="D275" s="1400"/>
      <c r="E275" s="1400"/>
      <c r="F275" s="1400"/>
      <c r="G275" s="1398"/>
      <c r="H275" s="1398"/>
      <c r="I275" s="1195"/>
      <c r="J275" s="1196"/>
      <c r="K275" s="1196"/>
      <c r="L275" s="1196"/>
      <c r="M275" s="150">
        <f t="shared" si="25"/>
        <v>0</v>
      </c>
      <c r="N275" s="151">
        <f t="shared" si="26"/>
        <v>0</v>
      </c>
      <c r="O275" s="152">
        <f>+IF(OR($R275=Parametres!$G$2,$R275=Parametres!$G$3),J275,D275)</f>
        <v>0</v>
      </c>
      <c r="P275" s="1085">
        <f>+IF(OR($R275=Parametres!$G$2,$R275=Parametres!$G$3),K275,E275)</f>
        <v>0</v>
      </c>
      <c r="Q275" s="152">
        <f>+IF(OR($R275=Parametres!$G$2,$R275=Parametres!$G$3),L275,F275)</f>
        <v>0</v>
      </c>
      <c r="R275" s="151">
        <f t="shared" si="27"/>
        <v>0</v>
      </c>
      <c r="S275" s="150">
        <f t="shared" si="28"/>
        <v>0</v>
      </c>
      <c r="T275" s="151">
        <f t="shared" si="29"/>
        <v>0</v>
      </c>
      <c r="U275" s="153" t="e">
        <f>+VLOOKUP($M275,Data_Validation!$A:$D,1,0)</f>
        <v>#N/A</v>
      </c>
      <c r="V275" s="153" t="e">
        <f>+VLOOKUP($M275,Data_Validation!$A:$D,3,0)</f>
        <v>#N/A</v>
      </c>
      <c r="W275" s="153" t="e">
        <f>+VLOOKUP($M275,Data_Validation!$A:$D,4,0)</f>
        <v>#N/A</v>
      </c>
      <c r="X275" s="153" t="e">
        <f>+VLOOKUP($M275,Data_Validation!$A:$E,5,0)</f>
        <v>#N/A</v>
      </c>
      <c r="Y275" s="153" t="e">
        <f>+VLOOKUP($M275,Data_Validation!$A:$F,6,0)</f>
        <v>#N/A</v>
      </c>
    </row>
    <row r="276" spans="2:25" ht="15" customHeight="1">
      <c r="B276" s="1398"/>
      <c r="C276" s="1401"/>
      <c r="D276" s="1400"/>
      <c r="E276" s="1400"/>
      <c r="F276" s="1400"/>
      <c r="G276" s="1398"/>
      <c r="H276" s="1398"/>
      <c r="I276" s="1195"/>
      <c r="J276" s="1194"/>
      <c r="K276" s="1195"/>
      <c r="L276" s="1194"/>
      <c r="M276" s="150">
        <f t="shared" si="25"/>
        <v>0</v>
      </c>
      <c r="N276" s="151">
        <f t="shared" si="26"/>
        <v>0</v>
      </c>
      <c r="O276" s="152">
        <f>+IF(OR($R276=Parametres!$G$2,$R276=Parametres!$G$3),J276,D276)</f>
        <v>0</v>
      </c>
      <c r="P276" s="1085">
        <f>+IF(OR($R276=Parametres!$G$2,$R276=Parametres!$G$3),K276,E276)</f>
        <v>0</v>
      </c>
      <c r="Q276" s="152">
        <f>+IF(OR($R276=Parametres!$G$2,$R276=Parametres!$G$3),L276,F276)</f>
        <v>0</v>
      </c>
      <c r="R276" s="151">
        <f t="shared" si="27"/>
        <v>0</v>
      </c>
      <c r="S276" s="150">
        <f t="shared" si="28"/>
        <v>0</v>
      </c>
      <c r="T276" s="151">
        <f t="shared" si="29"/>
        <v>0</v>
      </c>
      <c r="U276" s="153" t="e">
        <f>+VLOOKUP($M276,Data_Validation!$A:$D,1,0)</f>
        <v>#N/A</v>
      </c>
      <c r="V276" s="153" t="e">
        <f>+VLOOKUP($M276,Data_Validation!$A:$D,3,0)</f>
        <v>#N/A</v>
      </c>
      <c r="W276" s="153" t="e">
        <f>+VLOOKUP($M276,Data_Validation!$A:$D,4,0)</f>
        <v>#N/A</v>
      </c>
      <c r="X276" s="153" t="e">
        <f>+VLOOKUP($M276,Data_Validation!$A:$E,5,0)</f>
        <v>#N/A</v>
      </c>
      <c r="Y276" s="153" t="e">
        <f>+VLOOKUP($M276,Data_Validation!$A:$F,6,0)</f>
        <v>#N/A</v>
      </c>
    </row>
    <row r="277" spans="2:25" ht="15" customHeight="1">
      <c r="B277" s="1398"/>
      <c r="C277" s="1401"/>
      <c r="D277" s="1400"/>
      <c r="E277" s="1400"/>
      <c r="F277" s="1400"/>
      <c r="G277" s="1398"/>
      <c r="H277" s="1398"/>
      <c r="I277" s="1198"/>
      <c r="J277" s="1199"/>
      <c r="K277" s="1199"/>
      <c r="L277" s="1199"/>
      <c r="M277" s="150">
        <f t="shared" si="25"/>
        <v>0</v>
      </c>
      <c r="N277" s="151">
        <f t="shared" si="26"/>
        <v>0</v>
      </c>
      <c r="O277" s="152">
        <f>+IF(OR($R277=Parametres!$G$2,$R277=Parametres!$G$3),J277,D277)</f>
        <v>0</v>
      </c>
      <c r="P277" s="1085">
        <f>+IF(OR($R277=Parametres!$G$2,$R277=Parametres!$G$3),K277,E277)</f>
        <v>0</v>
      </c>
      <c r="Q277" s="152">
        <f>+IF(OR($R277=Parametres!$G$2,$R277=Parametres!$G$3),L277,F277)</f>
        <v>0</v>
      </c>
      <c r="R277" s="151">
        <f t="shared" si="27"/>
        <v>0</v>
      </c>
      <c r="S277" s="150">
        <f t="shared" si="28"/>
        <v>0</v>
      </c>
      <c r="T277" s="151">
        <f t="shared" si="29"/>
        <v>0</v>
      </c>
      <c r="U277" s="153" t="e">
        <f>+VLOOKUP($M277,Data_Validation!$A:$D,1,0)</f>
        <v>#N/A</v>
      </c>
      <c r="V277" s="153" t="e">
        <f>+VLOOKUP($M277,Data_Validation!$A:$D,3,0)</f>
        <v>#N/A</v>
      </c>
      <c r="W277" s="153" t="e">
        <f>+VLOOKUP($M277,Data_Validation!$A:$D,4,0)</f>
        <v>#N/A</v>
      </c>
      <c r="X277" s="153" t="e">
        <f>+VLOOKUP($M277,Data_Validation!$A:$E,5,0)</f>
        <v>#N/A</v>
      </c>
      <c r="Y277" s="153" t="e">
        <f>+VLOOKUP($M277,Data_Validation!$A:$F,6,0)</f>
        <v>#N/A</v>
      </c>
    </row>
    <row r="278" spans="2:25" ht="15" customHeight="1">
      <c r="B278" s="1398"/>
      <c r="C278" s="1401"/>
      <c r="D278" s="1400"/>
      <c r="E278" s="1400"/>
      <c r="F278" s="1400"/>
      <c r="G278" s="1398"/>
      <c r="H278" s="1398"/>
      <c r="I278" s="1198"/>
      <c r="J278" s="1203"/>
      <c r="K278" s="1198"/>
      <c r="L278" s="1203"/>
      <c r="M278" s="150">
        <f t="shared" si="25"/>
        <v>0</v>
      </c>
      <c r="N278" s="151">
        <f t="shared" si="26"/>
        <v>0</v>
      </c>
      <c r="O278" s="152">
        <f>+IF(OR($R278=Parametres!$G$2,$R278=Parametres!$G$3),J278,D278)</f>
        <v>0</v>
      </c>
      <c r="P278" s="1083">
        <f>+IF(OR($R278=Parametres!$G$2,$R278=Parametres!$G$3),K278,E278)</f>
        <v>0</v>
      </c>
      <c r="Q278" s="152">
        <f>+IF(OR($R278=Parametres!$G$2,$R278=Parametres!$G$3),L278,F278)</f>
        <v>0</v>
      </c>
      <c r="R278" s="151">
        <f t="shared" si="27"/>
        <v>0</v>
      </c>
      <c r="S278" s="150">
        <f t="shared" si="28"/>
        <v>0</v>
      </c>
      <c r="T278" s="151">
        <f t="shared" si="29"/>
        <v>0</v>
      </c>
      <c r="U278" s="153" t="e">
        <f>+VLOOKUP($M278,Data_Validation!$A:$D,1,0)</f>
        <v>#N/A</v>
      </c>
      <c r="V278" s="153" t="e">
        <f>+VLOOKUP($M278,Data_Validation!$A:$D,3,0)</f>
        <v>#N/A</v>
      </c>
      <c r="W278" s="153" t="e">
        <f>+VLOOKUP($M278,Data_Validation!$A:$D,4,0)</f>
        <v>#N/A</v>
      </c>
      <c r="X278" s="153" t="e">
        <f>+VLOOKUP($M278,Data_Validation!$A:$E,5,0)</f>
        <v>#N/A</v>
      </c>
      <c r="Y278" s="153" t="e">
        <f>+VLOOKUP($M278,Data_Validation!$A:$F,6,0)</f>
        <v>#N/A</v>
      </c>
    </row>
    <row r="279" spans="2:25" ht="15.75" customHeight="1">
      <c r="B279" s="1398"/>
      <c r="C279" s="1401"/>
      <c r="D279" s="1400"/>
      <c r="E279" s="1400"/>
      <c r="F279" s="1400"/>
      <c r="G279" s="1398"/>
      <c r="H279" s="1398"/>
      <c r="I279" s="1198"/>
      <c r="J279" s="1199"/>
      <c r="K279" s="1199"/>
      <c r="L279" s="1199"/>
      <c r="M279" s="150">
        <f t="shared" si="25"/>
        <v>0</v>
      </c>
      <c r="N279" s="151">
        <f t="shared" si="26"/>
        <v>0</v>
      </c>
      <c r="O279" s="152">
        <f>+IF(OR($R279=Parametres!$G$2,$R279=Parametres!$G$3),J279,D279)</f>
        <v>0</v>
      </c>
      <c r="P279" s="1083">
        <f>+IF(OR($R279=Parametres!$G$2,$R279=Parametres!$G$3),K279,E279)</f>
        <v>0</v>
      </c>
      <c r="Q279" s="152">
        <f>+IF(OR($R279=Parametres!$G$2,$R279=Parametres!$G$3),L279,F279)</f>
        <v>0</v>
      </c>
      <c r="R279" s="151">
        <f t="shared" si="27"/>
        <v>0</v>
      </c>
      <c r="S279" s="150">
        <f t="shared" si="28"/>
        <v>0</v>
      </c>
      <c r="T279" s="151">
        <f t="shared" si="29"/>
        <v>0</v>
      </c>
      <c r="U279" s="153" t="e">
        <f>+VLOOKUP($M279,Data_Validation!$A:$D,1,0)</f>
        <v>#N/A</v>
      </c>
      <c r="V279" s="153" t="e">
        <f>+VLOOKUP($M279,Data_Validation!$A:$D,3,0)</f>
        <v>#N/A</v>
      </c>
      <c r="W279" s="153" t="e">
        <f>+VLOOKUP($M279,Data_Validation!$A:$D,4,0)</f>
        <v>#N/A</v>
      </c>
      <c r="X279" s="153" t="e">
        <f>+VLOOKUP($M279,Data_Validation!$A:$E,5,0)</f>
        <v>#N/A</v>
      </c>
      <c r="Y279" s="153" t="e">
        <f>+VLOOKUP($M279,Data_Validation!$A:$F,6,0)</f>
        <v>#N/A</v>
      </c>
    </row>
    <row r="280" spans="2:25" ht="15" customHeight="1">
      <c r="B280" s="1398"/>
      <c r="C280" s="1401"/>
      <c r="D280" s="1400"/>
      <c r="E280" s="1400"/>
      <c r="F280" s="1400"/>
      <c r="G280" s="1398"/>
      <c r="H280" s="1398"/>
      <c r="I280" s="1195"/>
      <c r="J280" s="1196"/>
      <c r="K280" s="1196"/>
      <c r="L280" s="1196"/>
      <c r="M280" s="150">
        <f t="shared" si="25"/>
        <v>0</v>
      </c>
      <c r="N280" s="151">
        <f t="shared" si="26"/>
        <v>0</v>
      </c>
      <c r="O280" s="152">
        <f>+IF(OR($R280=Parametres!$G$2,$R280=Parametres!$G$3),J280,D280)</f>
        <v>0</v>
      </c>
      <c r="P280" s="1085">
        <f>+IF(OR($R280=Parametres!$G$2,$R280=Parametres!$G$3),K280,E280)</f>
        <v>0</v>
      </c>
      <c r="Q280" s="152">
        <f>+IF(OR($R280=Parametres!$G$2,$R280=Parametres!$G$3),L280,F280)</f>
        <v>0</v>
      </c>
      <c r="R280" s="151">
        <f t="shared" si="27"/>
        <v>0</v>
      </c>
      <c r="S280" s="150">
        <f t="shared" si="28"/>
        <v>0</v>
      </c>
      <c r="T280" s="151">
        <f t="shared" si="29"/>
        <v>0</v>
      </c>
      <c r="U280" s="153" t="e">
        <f>+VLOOKUP($M280,Data_Validation!$A:$D,1,0)</f>
        <v>#N/A</v>
      </c>
      <c r="V280" s="153" t="e">
        <f>+VLOOKUP($M280,Data_Validation!$A:$D,3,0)</f>
        <v>#N/A</v>
      </c>
      <c r="W280" s="153" t="e">
        <f>+VLOOKUP($M280,Data_Validation!$A:$D,4,0)</f>
        <v>#N/A</v>
      </c>
      <c r="X280" s="153" t="e">
        <f>+VLOOKUP($M280,Data_Validation!$A:$E,5,0)</f>
        <v>#N/A</v>
      </c>
      <c r="Y280" s="153" t="e">
        <f>+VLOOKUP($M280,Data_Validation!$A:$F,6,0)</f>
        <v>#N/A</v>
      </c>
    </row>
    <row r="281" spans="2:25" ht="15" customHeight="1">
      <c r="B281" s="1398"/>
      <c r="C281" s="1401"/>
      <c r="D281" s="1400"/>
      <c r="E281" s="1400"/>
      <c r="F281" s="1400"/>
      <c r="G281" s="1398"/>
      <c r="H281" s="1398"/>
      <c r="I281" s="1195"/>
      <c r="J281" s="1194"/>
      <c r="K281" s="1197"/>
      <c r="L281" s="1194"/>
      <c r="M281" s="150">
        <f t="shared" si="25"/>
        <v>0</v>
      </c>
      <c r="N281" s="573">
        <f t="shared" si="26"/>
        <v>0</v>
      </c>
      <c r="O281" s="152">
        <f>+IF(OR($R281=Parametres!$G$2,$R281=Parametres!$G$3),J281,D281)</f>
        <v>0</v>
      </c>
      <c r="P281" s="1083">
        <f>+IF(OR($R281=Parametres!$G$2,$R281=Parametres!$G$3),K281,E281)</f>
        <v>0</v>
      </c>
      <c r="Q281" s="575">
        <f>+IF(OR($R281=Parametres!$G$2,$R281=Parametres!$G$3),L281,F281)</f>
        <v>0</v>
      </c>
      <c r="R281" s="151">
        <f t="shared" si="27"/>
        <v>0</v>
      </c>
      <c r="S281" s="150">
        <f t="shared" si="28"/>
        <v>0</v>
      </c>
      <c r="T281" s="151">
        <f t="shared" si="29"/>
        <v>0</v>
      </c>
      <c r="U281" s="153" t="e">
        <f>+VLOOKUP($M281,Data_Validation!$A:$D,1,0)</f>
        <v>#N/A</v>
      </c>
      <c r="V281" s="153" t="e">
        <f>+VLOOKUP($M281,Data_Validation!$A:$D,3,0)</f>
        <v>#N/A</v>
      </c>
      <c r="W281" s="153" t="e">
        <f>+VLOOKUP($M281,Data_Validation!$A:$D,4,0)</f>
        <v>#N/A</v>
      </c>
      <c r="X281" s="153" t="e">
        <f>+VLOOKUP($M281,Data_Validation!$A:$E,5,0)</f>
        <v>#N/A</v>
      </c>
      <c r="Y281" s="153" t="e">
        <f>+VLOOKUP($M281,Data_Validation!$A:$F,6,0)</f>
        <v>#N/A</v>
      </c>
    </row>
    <row r="282" spans="2:25" ht="15" customHeight="1">
      <c r="B282" s="1398"/>
      <c r="C282" s="1401"/>
      <c r="D282" s="1400"/>
      <c r="E282" s="1400"/>
      <c r="F282" s="1400"/>
      <c r="G282" s="1398"/>
      <c r="H282" s="1398"/>
      <c r="I282" s="1198"/>
      <c r="J282" s="1199"/>
      <c r="K282" s="1199"/>
      <c r="L282" s="1199"/>
      <c r="M282" s="150">
        <f t="shared" si="25"/>
        <v>0</v>
      </c>
      <c r="N282" s="151">
        <f t="shared" si="26"/>
        <v>0</v>
      </c>
      <c r="O282" s="152">
        <f>+IF(OR($R282=Parametres!$G$2,$R282=Parametres!$G$3),J282,D282)</f>
        <v>0</v>
      </c>
      <c r="P282" s="1085">
        <f>+IF(OR($R282=Parametres!$G$2,$R282=Parametres!$G$3),K282,E282)</f>
        <v>0</v>
      </c>
      <c r="Q282" s="152">
        <f>+IF(OR($R282=Parametres!$G$2,$R282=Parametres!$G$3),L282,F282)</f>
        <v>0</v>
      </c>
      <c r="R282" s="151">
        <f t="shared" si="27"/>
        <v>0</v>
      </c>
      <c r="S282" s="150">
        <f t="shared" si="28"/>
        <v>0</v>
      </c>
      <c r="T282" s="151">
        <f t="shared" si="29"/>
        <v>0</v>
      </c>
      <c r="U282" s="153" t="e">
        <f>+VLOOKUP($M282,Data_Validation!$A:$D,1,0)</f>
        <v>#N/A</v>
      </c>
      <c r="V282" s="153" t="e">
        <f>+VLOOKUP($M282,Data_Validation!$A:$D,3,0)</f>
        <v>#N/A</v>
      </c>
      <c r="W282" s="153" t="e">
        <f>+VLOOKUP($M282,Data_Validation!$A:$D,4,0)</f>
        <v>#N/A</v>
      </c>
      <c r="X282" s="153" t="e">
        <f>+VLOOKUP($M282,Data_Validation!$A:$E,5,0)</f>
        <v>#N/A</v>
      </c>
      <c r="Y282" s="153" t="e">
        <f>+VLOOKUP($M282,Data_Validation!$A:$F,6,0)</f>
        <v>#N/A</v>
      </c>
    </row>
    <row r="283" spans="2:25" ht="15.75" customHeight="1">
      <c r="B283" s="1398"/>
      <c r="C283" s="1401"/>
      <c r="D283" s="1400"/>
      <c r="E283" s="1400"/>
      <c r="F283" s="1400"/>
      <c r="G283" s="1398"/>
      <c r="H283" s="1398"/>
      <c r="I283" s="948"/>
      <c r="J283" s="949"/>
      <c r="K283" s="949"/>
      <c r="L283" s="949"/>
      <c r="M283" s="150">
        <f t="shared" si="25"/>
        <v>0</v>
      </c>
      <c r="N283" s="151">
        <f t="shared" si="26"/>
        <v>0</v>
      </c>
      <c r="O283" s="152">
        <f>+IF(OR($R283=Parametres!$G$2,$R283=Parametres!$G$3),J283,D283)</f>
        <v>0</v>
      </c>
      <c r="P283" s="1085">
        <f>+IF(OR($R283=Parametres!$G$2,$R283=Parametres!$G$3),K283,E283)</f>
        <v>0</v>
      </c>
      <c r="Q283" s="152">
        <f>+IF(OR($R283=Parametres!$G$2,$R283=Parametres!$G$3),L283,F283)</f>
        <v>0</v>
      </c>
      <c r="R283" s="151">
        <f t="shared" si="27"/>
        <v>0</v>
      </c>
      <c r="S283" s="150">
        <f t="shared" si="28"/>
        <v>0</v>
      </c>
      <c r="T283" s="151">
        <f t="shared" si="29"/>
        <v>0</v>
      </c>
      <c r="U283" s="153" t="e">
        <f>+VLOOKUP($M283,Data_Validation!$A:$D,1,0)</f>
        <v>#N/A</v>
      </c>
      <c r="V283" s="153" t="e">
        <f>+VLOOKUP($M283,Data_Validation!$A:$D,3,0)</f>
        <v>#N/A</v>
      </c>
      <c r="W283" s="153" t="e">
        <f>+VLOOKUP($M283,Data_Validation!$A:$D,4,0)</f>
        <v>#N/A</v>
      </c>
      <c r="X283" s="153" t="e">
        <f>+VLOOKUP($M283,Data_Validation!$A:$E,5,0)</f>
        <v>#N/A</v>
      </c>
      <c r="Y283" s="153" t="e">
        <f>+VLOOKUP($M283,Data_Validation!$A:$F,6,0)</f>
        <v>#N/A</v>
      </c>
    </row>
    <row r="284" spans="2:25" ht="15" customHeight="1">
      <c r="B284" s="1398"/>
      <c r="C284" s="1401"/>
      <c r="D284" s="1400"/>
      <c r="E284" s="1400"/>
      <c r="F284" s="1400"/>
      <c r="G284" s="1398"/>
      <c r="H284" s="1398"/>
      <c r="I284" s="1198"/>
      <c r="J284" s="1198"/>
      <c r="K284" s="1198"/>
      <c r="L284" s="1203"/>
      <c r="M284" s="150">
        <f t="shared" si="25"/>
        <v>0</v>
      </c>
      <c r="N284" s="151">
        <f t="shared" si="26"/>
        <v>0</v>
      </c>
      <c r="O284" s="152">
        <f>+IF(OR($R284=Parametres!$G$2,$R284=Parametres!$G$3),J284,D284)</f>
        <v>0</v>
      </c>
      <c r="P284" s="1083">
        <f>+IF(OR($R284=Parametres!$G$2,$R284=Parametres!$G$3),K284,E284)</f>
        <v>0</v>
      </c>
      <c r="Q284" s="152">
        <f>+IF(OR($R284=Parametres!$G$2,$R284=Parametres!$G$3),L284,F284)</f>
        <v>0</v>
      </c>
      <c r="R284" s="151">
        <f t="shared" si="27"/>
        <v>0</v>
      </c>
      <c r="S284" s="150">
        <f t="shared" si="28"/>
        <v>0</v>
      </c>
      <c r="T284" s="151">
        <f t="shared" si="29"/>
        <v>0</v>
      </c>
      <c r="U284" s="153" t="e">
        <f>+VLOOKUP($M284,Data_Validation!$A:$D,1,0)</f>
        <v>#N/A</v>
      </c>
      <c r="V284" s="153" t="e">
        <f>+VLOOKUP($M284,Data_Validation!$A:$D,3,0)</f>
        <v>#N/A</v>
      </c>
      <c r="W284" s="153" t="e">
        <f>+VLOOKUP($M284,Data_Validation!$A:$D,4,0)</f>
        <v>#N/A</v>
      </c>
      <c r="X284" s="153" t="e">
        <f>+VLOOKUP($M284,Data_Validation!$A:$E,5,0)</f>
        <v>#N/A</v>
      </c>
      <c r="Y284" s="153" t="e">
        <f>+VLOOKUP($M284,Data_Validation!$A:$F,6,0)</f>
        <v>#N/A</v>
      </c>
    </row>
    <row r="285" spans="2:25" ht="15" customHeight="1">
      <c r="B285" s="1398"/>
      <c r="C285" s="1401"/>
      <c r="D285" s="1400"/>
      <c r="E285" s="1400"/>
      <c r="F285" s="1400"/>
      <c r="G285" s="1398"/>
      <c r="H285" s="1398"/>
      <c r="I285" s="1198"/>
      <c r="J285" s="1199"/>
      <c r="K285" s="1199"/>
      <c r="L285" s="1199"/>
      <c r="M285" s="150">
        <f t="shared" si="25"/>
        <v>0</v>
      </c>
      <c r="N285" s="151">
        <f t="shared" si="26"/>
        <v>0</v>
      </c>
      <c r="O285" s="152">
        <f>+IF(OR($R285=Parametres!$G$2,$R285=Parametres!$G$3),J285,D285)</f>
        <v>0</v>
      </c>
      <c r="P285" s="1085">
        <f>+IF(OR($R285=Parametres!$G$2,$R285=Parametres!$G$3),K285,E285)</f>
        <v>0</v>
      </c>
      <c r="Q285" s="152">
        <f>+IF(OR($R285=Parametres!$G$2,$R285=Parametres!$G$3),L285,F285)</f>
        <v>0</v>
      </c>
      <c r="R285" s="151">
        <f t="shared" si="27"/>
        <v>0</v>
      </c>
      <c r="S285" s="150">
        <f t="shared" si="28"/>
        <v>0</v>
      </c>
      <c r="T285" s="151">
        <f t="shared" si="29"/>
        <v>0</v>
      </c>
      <c r="U285" s="153" t="e">
        <f>+VLOOKUP($M285,Data_Validation!$A:$D,1,0)</f>
        <v>#N/A</v>
      </c>
      <c r="V285" s="153" t="e">
        <f>+VLOOKUP($M285,Data_Validation!$A:$D,3,0)</f>
        <v>#N/A</v>
      </c>
      <c r="W285" s="153" t="e">
        <f>+VLOOKUP($M285,Data_Validation!$A:$D,4,0)</f>
        <v>#N/A</v>
      </c>
      <c r="X285" s="153" t="e">
        <f>+VLOOKUP($M285,Data_Validation!$A:$E,5,0)</f>
        <v>#N/A</v>
      </c>
      <c r="Y285" s="153" t="e">
        <f>+VLOOKUP($M285,Data_Validation!$A:$F,6,0)</f>
        <v>#N/A</v>
      </c>
    </row>
    <row r="286" spans="2:25" ht="15" customHeight="1">
      <c r="B286" s="1398"/>
      <c r="C286" s="1401"/>
      <c r="D286" s="1400"/>
      <c r="E286" s="1400"/>
      <c r="F286" s="1400"/>
      <c r="G286" s="1398"/>
      <c r="H286" s="1398"/>
      <c r="I286" s="1198"/>
      <c r="J286" s="1199"/>
      <c r="K286" s="1199"/>
      <c r="L286" s="1199"/>
      <c r="M286" s="150">
        <f t="shared" si="25"/>
        <v>0</v>
      </c>
      <c r="N286" s="151">
        <f t="shared" si="26"/>
        <v>0</v>
      </c>
      <c r="O286" s="152">
        <f>+IF(OR($R286=Parametres!$G$2,$R286=Parametres!$G$3),J286,D286)</f>
        <v>0</v>
      </c>
      <c r="P286" s="1083">
        <f>+IF(OR($R286=Parametres!$G$2,$R286=Parametres!$G$3),K286,E286)</f>
        <v>0</v>
      </c>
      <c r="Q286" s="152">
        <f>+IF(OR($R286=Parametres!$G$2,$R286=Parametres!$G$3),L286,F286)</f>
        <v>0</v>
      </c>
      <c r="R286" s="151">
        <f t="shared" si="27"/>
        <v>0</v>
      </c>
      <c r="S286" s="150">
        <f t="shared" si="28"/>
        <v>0</v>
      </c>
      <c r="T286" s="151">
        <f t="shared" si="29"/>
        <v>0</v>
      </c>
      <c r="U286" s="153" t="e">
        <f>+VLOOKUP($M286,Data_Validation!$A:$D,1,0)</f>
        <v>#N/A</v>
      </c>
      <c r="V286" s="153" t="e">
        <f>+VLOOKUP($M286,Data_Validation!$A:$D,3,0)</f>
        <v>#N/A</v>
      </c>
      <c r="W286" s="153" t="e">
        <f>+VLOOKUP($M286,Data_Validation!$A:$D,4,0)</f>
        <v>#N/A</v>
      </c>
      <c r="X286" s="153" t="e">
        <f>+VLOOKUP($M286,Data_Validation!$A:$E,5,0)</f>
        <v>#N/A</v>
      </c>
      <c r="Y286" s="153" t="e">
        <f>+VLOOKUP($M286,Data_Validation!$A:$F,6,0)</f>
        <v>#N/A</v>
      </c>
    </row>
    <row r="287" spans="2:25" ht="15.75" customHeight="1">
      <c r="B287" s="1398"/>
      <c r="C287" s="1401"/>
      <c r="D287" s="1400"/>
      <c r="E287" s="1400"/>
      <c r="F287" s="1400"/>
      <c r="G287" s="1398"/>
      <c r="H287" s="1398"/>
      <c r="I287" s="948"/>
      <c r="J287" s="951"/>
      <c r="K287" s="951"/>
      <c r="L287" s="951"/>
      <c r="M287" s="150">
        <f t="shared" si="25"/>
        <v>0</v>
      </c>
      <c r="N287" s="151">
        <f t="shared" si="26"/>
        <v>0</v>
      </c>
      <c r="O287" s="152">
        <f>+IF(OR($R287=Parametres!$G$2,$R287=Parametres!$G$3),J287,D287)</f>
        <v>0</v>
      </c>
      <c r="P287" s="1085">
        <f>+IF(OR($R287=Parametres!$G$2,$R287=Parametres!$G$3),K287,E287)</f>
        <v>0</v>
      </c>
      <c r="Q287" s="152">
        <f>+IF(OR($R287=Parametres!$G$2,$R287=Parametres!$G$3),L287,F287)</f>
        <v>0</v>
      </c>
      <c r="R287" s="151">
        <f t="shared" si="27"/>
        <v>0</v>
      </c>
      <c r="S287" s="150">
        <f t="shared" si="28"/>
        <v>0</v>
      </c>
      <c r="T287" s="151">
        <f t="shared" si="29"/>
        <v>0</v>
      </c>
      <c r="U287" s="153" t="e">
        <f>+VLOOKUP($M287,Data_Validation!$A:$D,1,0)</f>
        <v>#N/A</v>
      </c>
      <c r="V287" s="153" t="e">
        <f>+VLOOKUP($M287,Data_Validation!$A:$D,3,0)</f>
        <v>#N/A</v>
      </c>
      <c r="W287" s="153" t="e">
        <f>+VLOOKUP($M287,Data_Validation!$A:$D,4,0)</f>
        <v>#N/A</v>
      </c>
      <c r="X287" s="153" t="e">
        <f>+VLOOKUP($M287,Data_Validation!$A:$E,5,0)</f>
        <v>#N/A</v>
      </c>
      <c r="Y287" s="153" t="e">
        <f>+VLOOKUP($M287,Data_Validation!$A:$F,6,0)</f>
        <v>#N/A</v>
      </c>
    </row>
    <row r="288" spans="2:25" ht="15" customHeight="1">
      <c r="B288" s="1398"/>
      <c r="C288" s="1401"/>
      <c r="D288" s="1400"/>
      <c r="E288" s="1400"/>
      <c r="F288" s="1400"/>
      <c r="G288" s="1398"/>
      <c r="H288" s="1398"/>
      <c r="I288" s="948"/>
      <c r="J288" s="949"/>
      <c r="K288" s="949"/>
      <c r="L288" s="949"/>
      <c r="M288" s="150">
        <f t="shared" si="25"/>
        <v>0</v>
      </c>
      <c r="N288" s="151">
        <f t="shared" si="26"/>
        <v>0</v>
      </c>
      <c r="O288" s="152">
        <f>+IF(OR($R288=Parametres!$G$2,$R288=Parametres!$G$3),J288,D288)</f>
        <v>0</v>
      </c>
      <c r="P288" s="1085">
        <f>+IF(OR($R288=Parametres!$G$2,$R288=Parametres!$G$3),K288,E288)</f>
        <v>0</v>
      </c>
      <c r="Q288" s="152">
        <f>+IF(OR($R288=Parametres!$G$2,$R288=Parametres!$G$3),L288,F288)</f>
        <v>0</v>
      </c>
      <c r="R288" s="151">
        <f t="shared" si="27"/>
        <v>0</v>
      </c>
      <c r="S288" s="150">
        <f t="shared" si="28"/>
        <v>0</v>
      </c>
      <c r="T288" s="151">
        <f t="shared" si="29"/>
        <v>0</v>
      </c>
      <c r="U288" s="153" t="e">
        <f>+VLOOKUP($M288,Data_Validation!$A:$D,1,0)</f>
        <v>#N/A</v>
      </c>
      <c r="V288" s="153" t="e">
        <f>+VLOOKUP($M288,Data_Validation!$A:$D,3,0)</f>
        <v>#N/A</v>
      </c>
      <c r="W288" s="153" t="e">
        <f>+VLOOKUP($M288,Data_Validation!$A:$D,4,0)</f>
        <v>#N/A</v>
      </c>
      <c r="X288" s="153" t="e">
        <f>+VLOOKUP($M288,Data_Validation!$A:$E,5,0)</f>
        <v>#N/A</v>
      </c>
      <c r="Y288" s="153" t="e">
        <f>+VLOOKUP($M288,Data_Validation!$A:$F,6,0)</f>
        <v>#N/A</v>
      </c>
    </row>
    <row r="289" spans="2:25" ht="15" customHeight="1">
      <c r="B289" s="1398"/>
      <c r="C289" s="1401"/>
      <c r="D289" s="1400"/>
      <c r="E289" s="1400"/>
      <c r="F289" s="1400"/>
      <c r="G289" s="1398"/>
      <c r="H289" s="1398"/>
      <c r="I289" s="1198"/>
      <c r="J289" s="1203"/>
      <c r="K289" s="1198"/>
      <c r="L289" s="1203"/>
      <c r="M289" s="150">
        <f t="shared" si="25"/>
        <v>0</v>
      </c>
      <c r="N289" s="151">
        <f t="shared" si="26"/>
        <v>0</v>
      </c>
      <c r="O289" s="152">
        <f>+IF(OR($R289=Parametres!$G$2,$R289=Parametres!$G$3),J289,D289)</f>
        <v>0</v>
      </c>
      <c r="P289" s="1085">
        <f>+IF(OR($R289=Parametres!$G$2,$R289=Parametres!$G$3),K289,E289)</f>
        <v>0</v>
      </c>
      <c r="Q289" s="152">
        <f>+IF(OR($R289=Parametres!$G$2,$R289=Parametres!$G$3),L289,F289)</f>
        <v>0</v>
      </c>
      <c r="R289" s="151">
        <f t="shared" si="27"/>
        <v>0</v>
      </c>
      <c r="S289" s="150">
        <f t="shared" si="28"/>
        <v>0</v>
      </c>
      <c r="T289" s="151">
        <f t="shared" si="29"/>
        <v>0</v>
      </c>
      <c r="U289" s="153" t="e">
        <f>+VLOOKUP($M289,Data_Validation!$A:$D,1,0)</f>
        <v>#N/A</v>
      </c>
      <c r="V289" s="153" t="e">
        <f>+VLOOKUP($M289,Data_Validation!$A:$D,3,0)</f>
        <v>#N/A</v>
      </c>
      <c r="W289" s="153" t="e">
        <f>+VLOOKUP($M289,Data_Validation!$A:$D,4,0)</f>
        <v>#N/A</v>
      </c>
      <c r="X289" s="153" t="e">
        <f>+VLOOKUP($M289,Data_Validation!$A:$E,5,0)</f>
        <v>#N/A</v>
      </c>
      <c r="Y289" s="153" t="e">
        <f>+VLOOKUP($M289,Data_Validation!$A:$F,6,0)</f>
        <v>#N/A</v>
      </c>
    </row>
    <row r="290" spans="2:25" ht="15" customHeight="1">
      <c r="B290" s="1398"/>
      <c r="C290" s="1401"/>
      <c r="D290" s="1400"/>
      <c r="E290" s="1400"/>
      <c r="F290" s="1400"/>
      <c r="G290" s="1398"/>
      <c r="H290" s="1398"/>
      <c r="I290" s="1198"/>
      <c r="J290" s="1199"/>
      <c r="K290" s="1199"/>
      <c r="L290" s="1199"/>
      <c r="M290" s="150">
        <f t="shared" si="25"/>
        <v>0</v>
      </c>
      <c r="N290" s="151">
        <f t="shared" si="26"/>
        <v>0</v>
      </c>
      <c r="O290" s="152">
        <f>+IF(OR($R290=Parametres!$G$2,$R290=Parametres!$G$3),J290,D290)</f>
        <v>0</v>
      </c>
      <c r="P290" s="1085">
        <f>+IF(OR($R290=Parametres!$G$2,$R290=Parametres!$G$3),K290,E290)</f>
        <v>0</v>
      </c>
      <c r="Q290" s="152">
        <f>+IF(OR($R290=Parametres!$G$2,$R290=Parametres!$G$3),L290,F290)</f>
        <v>0</v>
      </c>
      <c r="R290" s="151">
        <f t="shared" si="27"/>
        <v>0</v>
      </c>
      <c r="S290" s="150">
        <f t="shared" si="28"/>
        <v>0</v>
      </c>
      <c r="T290" s="151">
        <f t="shared" si="29"/>
        <v>0</v>
      </c>
      <c r="U290" s="153" t="e">
        <f>+VLOOKUP($M290,Data_Validation!$A:$D,1,0)</f>
        <v>#N/A</v>
      </c>
      <c r="V290" s="153" t="e">
        <f>+VLOOKUP($M290,Data_Validation!$A:$D,3,0)</f>
        <v>#N/A</v>
      </c>
      <c r="W290" s="153" t="e">
        <f>+VLOOKUP($M290,Data_Validation!$A:$D,4,0)</f>
        <v>#N/A</v>
      </c>
      <c r="X290" s="153" t="e">
        <f>+VLOOKUP($M290,Data_Validation!$A:$E,5,0)</f>
        <v>#N/A</v>
      </c>
      <c r="Y290" s="153" t="e">
        <f>+VLOOKUP($M290,Data_Validation!$A:$F,6,0)</f>
        <v>#N/A</v>
      </c>
    </row>
    <row r="291" spans="2:25" ht="15.75" customHeight="1">
      <c r="B291" s="1398"/>
      <c r="C291" s="1401"/>
      <c r="D291" s="1400"/>
      <c r="E291" s="1400"/>
      <c r="F291" s="1400"/>
      <c r="G291" s="1398"/>
      <c r="H291" s="1398"/>
      <c r="I291" s="1198"/>
      <c r="J291" s="1198"/>
      <c r="K291" s="1198"/>
      <c r="L291" s="1203"/>
      <c r="M291" s="150">
        <f t="shared" si="25"/>
        <v>0</v>
      </c>
      <c r="N291" s="151">
        <f t="shared" si="26"/>
        <v>0</v>
      </c>
      <c r="O291" s="152">
        <f>+IF(OR($R291=Parametres!$G$2,$R291=Parametres!$G$3),J291,D291)</f>
        <v>0</v>
      </c>
      <c r="P291" s="1086">
        <f>+IF(OR($R291=Parametres!$G$2,$R291=Parametres!$G$3),K291,E291)</f>
        <v>0</v>
      </c>
      <c r="Q291" s="152">
        <f>+IF(OR($R291=Parametres!$G$2,$R291=Parametres!$G$3),L291,F291)</f>
        <v>0</v>
      </c>
      <c r="R291" s="151">
        <f t="shared" si="27"/>
        <v>0</v>
      </c>
      <c r="S291" s="150">
        <f t="shared" si="28"/>
        <v>0</v>
      </c>
      <c r="T291" s="151">
        <f t="shared" si="29"/>
        <v>0</v>
      </c>
      <c r="U291" s="153" t="e">
        <f>+VLOOKUP($M291,Data_Validation!$A:$D,1,0)</f>
        <v>#N/A</v>
      </c>
      <c r="V291" s="153" t="e">
        <f>+VLOOKUP($M291,Data_Validation!$A:$D,3,0)</f>
        <v>#N/A</v>
      </c>
      <c r="W291" s="153" t="e">
        <f>+VLOOKUP($M291,Data_Validation!$A:$D,4,0)</f>
        <v>#N/A</v>
      </c>
      <c r="X291" s="153" t="e">
        <f>+VLOOKUP($M291,Data_Validation!$A:$E,5,0)</f>
        <v>#N/A</v>
      </c>
      <c r="Y291" s="153" t="e">
        <f>+VLOOKUP($M291,Data_Validation!$A:$F,6,0)</f>
        <v>#N/A</v>
      </c>
    </row>
    <row r="292" spans="2:25" ht="15" customHeight="1">
      <c r="B292" s="1398"/>
      <c r="C292" s="1401"/>
      <c r="D292" s="1400"/>
      <c r="E292" s="1400"/>
      <c r="F292" s="1400"/>
      <c r="G292" s="1398"/>
      <c r="H292" s="1398"/>
      <c r="I292" s="1198"/>
      <c r="J292" s="1199"/>
      <c r="K292" s="1199"/>
      <c r="L292" s="1199"/>
      <c r="M292" s="150">
        <f t="shared" si="25"/>
        <v>0</v>
      </c>
      <c r="N292" s="151">
        <f t="shared" si="26"/>
        <v>0</v>
      </c>
      <c r="O292" s="152">
        <f>+IF(OR($R292=Parametres!$G$2,$R292=Parametres!$G$3),J292,D292)</f>
        <v>0</v>
      </c>
      <c r="P292" s="1085">
        <f>+IF(OR($R292=Parametres!$G$2,$R292=Parametres!$G$3),K292,E292)</f>
        <v>0</v>
      </c>
      <c r="Q292" s="152">
        <f>+IF(OR($R292=Parametres!$G$2,$R292=Parametres!$G$3),L292,F292)</f>
        <v>0</v>
      </c>
      <c r="R292" s="151">
        <f t="shared" si="27"/>
        <v>0</v>
      </c>
      <c r="S292" s="150">
        <f t="shared" si="28"/>
        <v>0</v>
      </c>
      <c r="T292" s="151">
        <f t="shared" si="29"/>
        <v>0</v>
      </c>
      <c r="U292" s="153" t="e">
        <f>+VLOOKUP($M292,Data_Validation!$A:$D,1,0)</f>
        <v>#N/A</v>
      </c>
      <c r="V292" s="153" t="e">
        <f>+VLOOKUP($M292,Data_Validation!$A:$D,3,0)</f>
        <v>#N/A</v>
      </c>
      <c r="W292" s="153" t="e">
        <f>+VLOOKUP($M292,Data_Validation!$A:$D,4,0)</f>
        <v>#N/A</v>
      </c>
      <c r="X292" s="153" t="e">
        <f>+VLOOKUP($M292,Data_Validation!$A:$E,5,0)</f>
        <v>#N/A</v>
      </c>
      <c r="Y292" s="153" t="e">
        <f>+VLOOKUP($M292,Data_Validation!$A:$F,6,0)</f>
        <v>#N/A</v>
      </c>
    </row>
    <row r="293" spans="2:25" ht="15" customHeight="1">
      <c r="B293" s="1398"/>
      <c r="C293" s="1401"/>
      <c r="D293" s="1400"/>
      <c r="E293" s="1400"/>
      <c r="F293" s="1400"/>
      <c r="G293" s="1398"/>
      <c r="H293" s="1398"/>
      <c r="I293" s="1198"/>
      <c r="J293" s="1198"/>
      <c r="K293" s="1198"/>
      <c r="L293" s="1198"/>
      <c r="M293" s="150">
        <f t="shared" si="25"/>
        <v>0</v>
      </c>
      <c r="N293" s="151">
        <f t="shared" si="26"/>
        <v>0</v>
      </c>
      <c r="O293" s="152">
        <f>+IF(OR($R293=Parametres!$G$2,$R293=Parametres!$G$3),J293,D293)</f>
        <v>0</v>
      </c>
      <c r="P293" s="1085">
        <f>+IF(OR($R293=Parametres!$G$2,$R293=Parametres!$G$3),K293,E293)</f>
        <v>0</v>
      </c>
      <c r="Q293" s="152">
        <f>+IF(OR($R293=Parametres!$G$2,$R293=Parametres!$G$3),L293,F293)</f>
        <v>0</v>
      </c>
      <c r="R293" s="151">
        <f t="shared" si="27"/>
        <v>0</v>
      </c>
      <c r="S293" s="150">
        <f t="shared" si="28"/>
        <v>0</v>
      </c>
      <c r="T293" s="151">
        <f t="shared" si="29"/>
        <v>0</v>
      </c>
      <c r="U293" s="153" t="e">
        <f>+VLOOKUP($M293,Data_Validation!$A:$D,1,0)</f>
        <v>#N/A</v>
      </c>
      <c r="V293" s="153" t="e">
        <f>+VLOOKUP($M293,Data_Validation!$A:$D,3,0)</f>
        <v>#N/A</v>
      </c>
      <c r="W293" s="153" t="e">
        <f>+VLOOKUP($M293,Data_Validation!$A:$D,4,0)</f>
        <v>#N/A</v>
      </c>
      <c r="X293" s="153" t="e">
        <f>+VLOOKUP($M293,Data_Validation!$A:$E,5,0)</f>
        <v>#N/A</v>
      </c>
      <c r="Y293" s="153" t="e">
        <f>+VLOOKUP($M293,Data_Validation!$A:$F,6,0)</f>
        <v>#N/A</v>
      </c>
    </row>
    <row r="294" spans="2:25" ht="15" customHeight="1">
      <c r="B294" s="1398"/>
      <c r="C294" s="1401"/>
      <c r="D294" s="1400"/>
      <c r="E294" s="1400"/>
      <c r="F294" s="1400"/>
      <c r="G294" s="1398"/>
      <c r="H294" s="1398"/>
      <c r="I294" s="1198"/>
      <c r="J294" s="1198"/>
      <c r="K294" s="1198"/>
      <c r="L294" s="1198"/>
      <c r="M294" s="150">
        <f t="shared" si="25"/>
        <v>0</v>
      </c>
      <c r="N294" s="151">
        <f t="shared" si="26"/>
        <v>0</v>
      </c>
      <c r="O294" s="152">
        <f>+IF(OR($R294=Parametres!$G$2,$R294=Parametres!$G$3),J294,D294)</f>
        <v>0</v>
      </c>
      <c r="P294" s="1085">
        <f>+IF(OR($R294=Parametres!$G$2,$R294=Parametres!$G$3),K294,E294)</f>
        <v>0</v>
      </c>
      <c r="Q294" s="152">
        <f>+IF(OR($R294=Parametres!$G$2,$R294=Parametres!$G$3),L294,F294)</f>
        <v>0</v>
      </c>
      <c r="R294" s="151">
        <f t="shared" si="27"/>
        <v>0</v>
      </c>
      <c r="S294" s="150">
        <f t="shared" si="28"/>
        <v>0</v>
      </c>
      <c r="T294" s="151">
        <f t="shared" si="29"/>
        <v>0</v>
      </c>
      <c r="U294" s="153" t="e">
        <f>+VLOOKUP($M294,Data_Validation!$A:$D,1,0)</f>
        <v>#N/A</v>
      </c>
      <c r="V294" s="153" t="e">
        <f>+VLOOKUP($M294,Data_Validation!$A:$D,3,0)</f>
        <v>#N/A</v>
      </c>
      <c r="W294" s="153" t="e">
        <f>+VLOOKUP($M294,Data_Validation!$A:$D,4,0)</f>
        <v>#N/A</v>
      </c>
      <c r="X294" s="153" t="e">
        <f>+VLOOKUP($M294,Data_Validation!$A:$E,5,0)</f>
        <v>#N/A</v>
      </c>
      <c r="Y294" s="153" t="e">
        <f>+VLOOKUP($M294,Data_Validation!$A:$F,6,0)</f>
        <v>#N/A</v>
      </c>
    </row>
    <row r="295" spans="2:25" ht="15" customHeight="1">
      <c r="B295" s="1398"/>
      <c r="C295" s="1401"/>
      <c r="D295" s="1400"/>
      <c r="E295" s="1400"/>
      <c r="F295" s="1400"/>
      <c r="G295" s="1398"/>
      <c r="H295" s="1398"/>
      <c r="I295" s="948"/>
      <c r="J295" s="949"/>
      <c r="K295" s="949"/>
      <c r="L295" s="949"/>
      <c r="M295" s="150">
        <f t="shared" si="25"/>
        <v>0</v>
      </c>
      <c r="N295" s="151">
        <f t="shared" si="26"/>
        <v>0</v>
      </c>
      <c r="O295" s="152">
        <f>+IF(OR($R295=Parametres!$G$2,$R295=Parametres!$G$3),J295,D295)</f>
        <v>0</v>
      </c>
      <c r="P295" s="1085">
        <f>+IF(OR($R295=Parametres!$G$2,$R295=Parametres!$G$3),K295,E295)</f>
        <v>0</v>
      </c>
      <c r="Q295" s="152">
        <f>+IF(OR($R295=Parametres!$G$2,$R295=Parametres!$G$3),L295,F295)</f>
        <v>0</v>
      </c>
      <c r="R295" s="151">
        <f t="shared" si="27"/>
        <v>0</v>
      </c>
      <c r="S295" s="150">
        <f t="shared" si="28"/>
        <v>0</v>
      </c>
      <c r="T295" s="151">
        <f t="shared" si="29"/>
        <v>0</v>
      </c>
      <c r="U295" s="153" t="e">
        <f>+VLOOKUP($M295,Data_Validation!$A:$D,1,0)</f>
        <v>#N/A</v>
      </c>
      <c r="V295" s="153" t="e">
        <f>+VLOOKUP($M295,Data_Validation!$A:$D,3,0)</f>
        <v>#N/A</v>
      </c>
      <c r="W295" s="153" t="e">
        <f>+VLOOKUP($M295,Data_Validation!$A:$D,4,0)</f>
        <v>#N/A</v>
      </c>
      <c r="X295" s="153" t="e">
        <f>+VLOOKUP($M295,Data_Validation!$A:$E,5,0)</f>
        <v>#N/A</v>
      </c>
      <c r="Y295" s="153" t="e">
        <f>+VLOOKUP($M295,Data_Validation!$A:$F,6,0)</f>
        <v>#N/A</v>
      </c>
    </row>
    <row r="296" spans="2:25" ht="15" customHeight="1">
      <c r="B296" s="1398"/>
      <c r="C296" s="1401"/>
      <c r="D296" s="1400"/>
      <c r="E296" s="1400"/>
      <c r="F296" s="1400"/>
      <c r="G296" s="1398"/>
      <c r="H296" s="1398"/>
      <c r="I296" s="928"/>
      <c r="J296" s="927"/>
      <c r="K296" s="927"/>
      <c r="L296" s="927"/>
      <c r="M296" s="150">
        <f t="shared" si="25"/>
        <v>0</v>
      </c>
      <c r="N296" s="151">
        <f t="shared" si="26"/>
        <v>0</v>
      </c>
      <c r="O296" s="152">
        <f>+IF(OR($R296=Parametres!$G$2,$R296=Parametres!$G$3),J296,D296)</f>
        <v>0</v>
      </c>
      <c r="P296" s="1085">
        <f>+IF(OR($R296=Parametres!$G$2,$R296=Parametres!$G$3),K296,E296)</f>
        <v>0</v>
      </c>
      <c r="Q296" s="152">
        <f>+IF(OR($R296=Parametres!$G$2,$R296=Parametres!$G$3),L296,F296)</f>
        <v>0</v>
      </c>
      <c r="R296" s="151">
        <f t="shared" si="27"/>
        <v>0</v>
      </c>
      <c r="S296" s="150">
        <f t="shared" si="28"/>
        <v>0</v>
      </c>
      <c r="T296" s="151">
        <f t="shared" si="29"/>
        <v>0</v>
      </c>
      <c r="U296" s="153" t="e">
        <f>+VLOOKUP($M296,Data_Validation!$A:$D,1,0)</f>
        <v>#N/A</v>
      </c>
      <c r="V296" s="153" t="e">
        <f>+VLOOKUP($M296,Data_Validation!$A:$D,3,0)</f>
        <v>#N/A</v>
      </c>
      <c r="W296" s="153" t="e">
        <f>+VLOOKUP($M296,Data_Validation!$A:$D,4,0)</f>
        <v>#N/A</v>
      </c>
      <c r="X296" s="153" t="e">
        <f>+VLOOKUP($M296,Data_Validation!$A:$E,5,0)</f>
        <v>#N/A</v>
      </c>
      <c r="Y296" s="153" t="e">
        <f>+VLOOKUP($M296,Data_Validation!$A:$F,6,0)</f>
        <v>#N/A</v>
      </c>
    </row>
    <row r="297" spans="2:25" ht="15.75" customHeight="1">
      <c r="B297" s="1398"/>
      <c r="C297" s="1401"/>
      <c r="D297" s="1400"/>
      <c r="E297" s="1400"/>
      <c r="F297" s="1400"/>
      <c r="G297" s="1398"/>
      <c r="H297" s="1398"/>
      <c r="I297" s="948"/>
      <c r="J297" s="949"/>
      <c r="K297" s="949"/>
      <c r="L297" s="949"/>
      <c r="M297" s="150">
        <f t="shared" si="25"/>
        <v>0</v>
      </c>
      <c r="N297" s="151">
        <f t="shared" si="26"/>
        <v>0</v>
      </c>
      <c r="O297" s="152">
        <f>+IF(OR($R297=Parametres!$G$2,$R297=Parametres!$G$3),J297,D297)</f>
        <v>0</v>
      </c>
      <c r="P297" s="1085">
        <f>+IF(OR($R297=Parametres!$G$2,$R297=Parametres!$G$3),K297,E297)</f>
        <v>0</v>
      </c>
      <c r="Q297" s="152">
        <f>+IF(OR($R297=Parametres!$G$2,$R297=Parametres!$G$3),L297,F297)</f>
        <v>0</v>
      </c>
      <c r="R297" s="151">
        <f t="shared" si="27"/>
        <v>0</v>
      </c>
      <c r="S297" s="150">
        <f t="shared" si="28"/>
        <v>0</v>
      </c>
      <c r="T297" s="151">
        <f t="shared" si="29"/>
        <v>0</v>
      </c>
      <c r="U297" s="153" t="e">
        <f>+VLOOKUP($M297,Data_Validation!$A:$D,1,0)</f>
        <v>#N/A</v>
      </c>
      <c r="V297" s="153" t="e">
        <f>+VLOOKUP($M297,Data_Validation!$A:$D,3,0)</f>
        <v>#N/A</v>
      </c>
      <c r="W297" s="153" t="e">
        <f>+VLOOKUP($M297,Data_Validation!$A:$D,4,0)</f>
        <v>#N/A</v>
      </c>
      <c r="X297" s="153" t="e">
        <f>+VLOOKUP($M297,Data_Validation!$A:$E,5,0)</f>
        <v>#N/A</v>
      </c>
      <c r="Y297" s="153" t="e">
        <f>+VLOOKUP($M297,Data_Validation!$A:$F,6,0)</f>
        <v>#N/A</v>
      </c>
    </row>
    <row r="298" spans="2:25" ht="15" customHeight="1">
      <c r="B298" s="1398"/>
      <c r="C298" s="1401"/>
      <c r="D298" s="1400"/>
      <c r="E298" s="1400"/>
      <c r="F298" s="1400"/>
      <c r="G298" s="1398"/>
      <c r="H298" s="1398"/>
      <c r="I298" s="989"/>
      <c r="J298" s="989"/>
      <c r="K298" s="989"/>
      <c r="L298" s="989"/>
      <c r="M298" s="150">
        <f t="shared" si="25"/>
        <v>0</v>
      </c>
      <c r="N298" s="151">
        <f t="shared" si="26"/>
        <v>0</v>
      </c>
      <c r="O298" s="152">
        <f>+IF(OR($R298=Parametres!$G$2,$R298=Parametres!$G$3),J298,D298)</f>
        <v>0</v>
      </c>
      <c r="P298" s="1085">
        <f>+IF(OR($R298=Parametres!$G$2,$R298=Parametres!$G$3),K298,E298)</f>
        <v>0</v>
      </c>
      <c r="Q298" s="152">
        <f>+IF(OR($R298=Parametres!$G$2,$R298=Parametres!$G$3),L298,F298)</f>
        <v>0</v>
      </c>
      <c r="R298" s="151">
        <f t="shared" si="27"/>
        <v>0</v>
      </c>
      <c r="S298" s="150">
        <f t="shared" si="28"/>
        <v>0</v>
      </c>
      <c r="T298" s="151">
        <f t="shared" si="29"/>
        <v>0</v>
      </c>
      <c r="U298" s="153" t="e">
        <f>+VLOOKUP($M298,Data_Validation!$A:$D,1,0)</f>
        <v>#N/A</v>
      </c>
      <c r="V298" s="153" t="e">
        <f>+VLOOKUP($M298,Data_Validation!$A:$D,3,0)</f>
        <v>#N/A</v>
      </c>
      <c r="W298" s="153" t="e">
        <f>+VLOOKUP($M298,Data_Validation!$A:$D,4,0)</f>
        <v>#N/A</v>
      </c>
      <c r="X298" s="153" t="e">
        <f>+VLOOKUP($M298,Data_Validation!$A:$E,5,0)</f>
        <v>#N/A</v>
      </c>
      <c r="Y298" s="153" t="e">
        <f>+VLOOKUP($M298,Data_Validation!$A:$F,6,0)</f>
        <v>#N/A</v>
      </c>
    </row>
    <row r="299" spans="2:25" ht="15" customHeight="1">
      <c r="B299" s="1398"/>
      <c r="C299" s="1401"/>
      <c r="D299" s="1400"/>
      <c r="E299" s="1400"/>
      <c r="F299" s="1400"/>
      <c r="G299" s="1398"/>
      <c r="H299" s="1398"/>
      <c r="I299" s="989"/>
      <c r="J299" s="989"/>
      <c r="K299" s="989"/>
      <c r="L299" s="989"/>
      <c r="M299" s="150">
        <f t="shared" si="25"/>
        <v>0</v>
      </c>
      <c r="N299" s="151">
        <f t="shared" si="26"/>
        <v>0</v>
      </c>
      <c r="O299" s="152">
        <f>+IF(OR($R299=Parametres!$G$2,$R299=Parametres!$G$3),J299,D299)</f>
        <v>0</v>
      </c>
      <c r="P299" s="1085">
        <f>+IF(OR($R299=Parametres!$G$2,$R299=Parametres!$G$3),K299,E299)</f>
        <v>0</v>
      </c>
      <c r="Q299" s="152">
        <f>+IF(OR($R299=Parametres!$G$2,$R299=Parametres!$G$3),L299,F299)</f>
        <v>0</v>
      </c>
      <c r="R299" s="151">
        <f t="shared" si="27"/>
        <v>0</v>
      </c>
      <c r="S299" s="150">
        <f t="shared" si="28"/>
        <v>0</v>
      </c>
      <c r="T299" s="151">
        <f t="shared" si="29"/>
        <v>0</v>
      </c>
      <c r="U299" s="153" t="e">
        <f>+VLOOKUP($M299,Data_Validation!$A:$D,1,0)</f>
        <v>#N/A</v>
      </c>
      <c r="V299" s="153" t="e">
        <f>+VLOOKUP($M299,Data_Validation!$A:$D,3,0)</f>
        <v>#N/A</v>
      </c>
      <c r="W299" s="153" t="e">
        <f>+VLOOKUP($M299,Data_Validation!$A:$D,4,0)</f>
        <v>#N/A</v>
      </c>
      <c r="X299" s="153" t="e">
        <f>+VLOOKUP($M299,Data_Validation!$A:$E,5,0)</f>
        <v>#N/A</v>
      </c>
      <c r="Y299" s="153" t="e">
        <f>+VLOOKUP($M299,Data_Validation!$A:$F,6,0)</f>
        <v>#N/A</v>
      </c>
    </row>
    <row r="300" spans="2:25" ht="15" customHeight="1">
      <c r="B300" s="1398"/>
      <c r="C300" s="1401"/>
      <c r="D300" s="1400"/>
      <c r="E300" s="1400"/>
      <c r="F300" s="1400"/>
      <c r="G300" s="1398"/>
      <c r="H300" s="1398"/>
      <c r="I300" s="1198"/>
      <c r="J300" s="1198"/>
      <c r="K300" s="1198"/>
      <c r="L300" s="1203"/>
      <c r="M300" s="150">
        <f t="shared" si="25"/>
        <v>0</v>
      </c>
      <c r="N300" s="151">
        <f t="shared" si="26"/>
        <v>0</v>
      </c>
      <c r="O300" s="152">
        <f>+IF(OR($R300=Parametres!$G$2,$R300=Parametres!$G$3),J300,D300)</f>
        <v>0</v>
      </c>
      <c r="P300" s="1085">
        <f>+IF(OR($R300=Parametres!$G$2,$R300=Parametres!$G$3),K300,E300)</f>
        <v>0</v>
      </c>
      <c r="Q300" s="152">
        <f>+IF(OR($R300=Parametres!$G$2,$R300=Parametres!$G$3),L300,F300)</f>
        <v>0</v>
      </c>
      <c r="R300" s="151">
        <f t="shared" si="27"/>
        <v>0</v>
      </c>
      <c r="S300" s="150">
        <f t="shared" si="28"/>
        <v>0</v>
      </c>
      <c r="T300" s="151">
        <f t="shared" si="29"/>
        <v>0</v>
      </c>
      <c r="U300" s="153" t="e">
        <f>+VLOOKUP($M300,Data_Validation!$A:$D,1,0)</f>
        <v>#N/A</v>
      </c>
      <c r="V300" s="153" t="e">
        <f>+VLOOKUP($M300,Data_Validation!$A:$D,3,0)</f>
        <v>#N/A</v>
      </c>
      <c r="W300" s="153" t="e">
        <f>+VLOOKUP($M300,Data_Validation!$A:$D,4,0)</f>
        <v>#N/A</v>
      </c>
      <c r="X300" s="153" t="e">
        <f>+VLOOKUP($M300,Data_Validation!$A:$E,5,0)</f>
        <v>#N/A</v>
      </c>
      <c r="Y300" s="153" t="e">
        <f>+VLOOKUP($M300,Data_Validation!$A:$F,6,0)</f>
        <v>#N/A</v>
      </c>
    </row>
    <row r="301" spans="2:25" ht="15.75" customHeight="1">
      <c r="B301" s="1398"/>
      <c r="C301" s="1401"/>
      <c r="D301" s="1400"/>
      <c r="E301" s="1400"/>
      <c r="F301" s="1400"/>
      <c r="G301" s="1398"/>
      <c r="H301" s="1398"/>
      <c r="I301" s="1198"/>
      <c r="J301" s="1199"/>
      <c r="K301" s="1199"/>
      <c r="L301" s="1199"/>
      <c r="M301" s="150">
        <f t="shared" si="25"/>
        <v>0</v>
      </c>
      <c r="N301" s="151">
        <f t="shared" si="26"/>
        <v>0</v>
      </c>
      <c r="O301" s="152">
        <f>+IF(OR($R301=Parametres!$G$2,$R301=Parametres!$G$3),J301,D301)</f>
        <v>0</v>
      </c>
      <c r="P301" s="1085">
        <f>+IF(OR($R301=Parametres!$G$2,$R301=Parametres!$G$3),K301,E301)</f>
        <v>0</v>
      </c>
      <c r="Q301" s="152">
        <f>+IF(OR($R301=Parametres!$G$2,$R301=Parametres!$G$3),L301,F301)</f>
        <v>0</v>
      </c>
      <c r="R301" s="151">
        <f t="shared" si="27"/>
        <v>0</v>
      </c>
      <c r="S301" s="150">
        <f t="shared" si="28"/>
        <v>0</v>
      </c>
      <c r="T301" s="151">
        <f t="shared" si="29"/>
        <v>0</v>
      </c>
      <c r="U301" s="153" t="e">
        <f>+VLOOKUP($M301,Data_Validation!$A:$D,1,0)</f>
        <v>#N/A</v>
      </c>
      <c r="V301" s="153" t="e">
        <f>+VLOOKUP($M301,Data_Validation!$A:$D,3,0)</f>
        <v>#N/A</v>
      </c>
      <c r="W301" s="153" t="e">
        <f>+VLOOKUP($M301,Data_Validation!$A:$D,4,0)</f>
        <v>#N/A</v>
      </c>
      <c r="X301" s="153" t="e">
        <f>+VLOOKUP($M301,Data_Validation!$A:$E,5,0)</f>
        <v>#N/A</v>
      </c>
      <c r="Y301" s="153" t="e">
        <f>+VLOOKUP($M301,Data_Validation!$A:$F,6,0)</f>
        <v>#N/A</v>
      </c>
    </row>
    <row r="302" spans="2:25" ht="15" customHeight="1">
      <c r="B302" s="1398"/>
      <c r="C302" s="1401"/>
      <c r="D302" s="1400"/>
      <c r="E302" s="1400"/>
      <c r="F302" s="1400"/>
      <c r="G302" s="1398"/>
      <c r="H302" s="1398"/>
      <c r="I302" s="948"/>
      <c r="J302" s="949"/>
      <c r="K302" s="949"/>
      <c r="L302" s="949"/>
      <c r="M302" s="150">
        <f t="shared" si="25"/>
        <v>0</v>
      </c>
      <c r="N302" s="151">
        <f t="shared" si="26"/>
        <v>0</v>
      </c>
      <c r="O302" s="152">
        <f>+IF(OR($R302=Parametres!$G$2,$R302=Parametres!$G$3),J302,D302)</f>
        <v>0</v>
      </c>
      <c r="P302" s="1085">
        <f>+IF(OR($R302=Parametres!$G$2,$R302=Parametres!$G$3),K302,E302)</f>
        <v>0</v>
      </c>
      <c r="Q302" s="152">
        <f>+IF(OR($R302=Parametres!$G$2,$R302=Parametres!$G$3),L302,F302)</f>
        <v>0</v>
      </c>
      <c r="R302" s="151">
        <f t="shared" si="27"/>
        <v>0</v>
      </c>
      <c r="S302" s="150">
        <f t="shared" si="28"/>
        <v>0</v>
      </c>
      <c r="T302" s="151">
        <f t="shared" si="29"/>
        <v>0</v>
      </c>
      <c r="U302" s="153" t="e">
        <f>+VLOOKUP($M302,Data_Validation!$A:$D,1,0)</f>
        <v>#N/A</v>
      </c>
      <c r="V302" s="153" t="e">
        <f>+VLOOKUP($M302,Data_Validation!$A:$D,3,0)</f>
        <v>#N/A</v>
      </c>
      <c r="W302" s="153" t="e">
        <f>+VLOOKUP($M302,Data_Validation!$A:$D,4,0)</f>
        <v>#N/A</v>
      </c>
      <c r="X302" s="153" t="e">
        <f>+VLOOKUP($M302,Data_Validation!$A:$E,5,0)</f>
        <v>#N/A</v>
      </c>
      <c r="Y302" s="153" t="e">
        <f>+VLOOKUP($M302,Data_Validation!$A:$F,6,0)</f>
        <v>#N/A</v>
      </c>
    </row>
    <row r="303" spans="2:25" ht="15" customHeight="1">
      <c r="B303" s="1398"/>
      <c r="C303" s="1401"/>
      <c r="D303" s="1400"/>
      <c r="E303" s="1400"/>
      <c r="F303" s="1400"/>
      <c r="G303" s="1398"/>
      <c r="H303" s="1398"/>
      <c r="I303" s="948"/>
      <c r="J303" s="951"/>
      <c r="K303" s="951"/>
      <c r="L303" s="951"/>
      <c r="M303" s="150">
        <f t="shared" si="25"/>
        <v>0</v>
      </c>
      <c r="N303" s="151">
        <f t="shared" si="26"/>
        <v>0</v>
      </c>
      <c r="O303" s="152">
        <f>+IF(OR($R303=Parametres!$G$2,$R303=Parametres!$G$3),J303,D303)</f>
        <v>0</v>
      </c>
      <c r="P303" s="1085">
        <f>+IF(OR($R303=Parametres!$G$2,$R303=Parametres!$G$3),K303,E303)</f>
        <v>0</v>
      </c>
      <c r="Q303" s="152">
        <f>+IF(OR($R303=Parametres!$G$2,$R303=Parametres!$G$3),L303,F303)</f>
        <v>0</v>
      </c>
      <c r="R303" s="151">
        <f t="shared" si="27"/>
        <v>0</v>
      </c>
      <c r="S303" s="150">
        <f t="shared" si="28"/>
        <v>0</v>
      </c>
      <c r="T303" s="151">
        <f t="shared" si="29"/>
        <v>0</v>
      </c>
      <c r="U303" s="153" t="e">
        <f>+VLOOKUP($M303,Data_Validation!$A:$D,1,0)</f>
        <v>#N/A</v>
      </c>
      <c r="V303" s="153" t="e">
        <f>+VLOOKUP($M303,Data_Validation!$A:$D,3,0)</f>
        <v>#N/A</v>
      </c>
      <c r="W303" s="153" t="e">
        <f>+VLOOKUP($M303,Data_Validation!$A:$D,4,0)</f>
        <v>#N/A</v>
      </c>
      <c r="X303" s="153" t="e">
        <f>+VLOOKUP($M303,Data_Validation!$A:$E,5,0)</f>
        <v>#N/A</v>
      </c>
      <c r="Y303" s="153" t="e">
        <f>+VLOOKUP($M303,Data_Validation!$A:$F,6,0)</f>
        <v>#N/A</v>
      </c>
    </row>
    <row r="304" spans="2:25" ht="15" customHeight="1">
      <c r="B304" s="1398"/>
      <c r="C304" s="1401"/>
      <c r="D304" s="1400"/>
      <c r="E304" s="1400"/>
      <c r="F304" s="1400"/>
      <c r="G304" s="1398"/>
      <c r="H304" s="1398"/>
      <c r="I304" s="948"/>
      <c r="J304" s="951"/>
      <c r="K304" s="951"/>
      <c r="L304" s="951"/>
      <c r="M304" s="150">
        <f t="shared" si="25"/>
        <v>0</v>
      </c>
      <c r="N304" s="151">
        <f t="shared" si="26"/>
        <v>0</v>
      </c>
      <c r="O304" s="152">
        <f>+IF(OR($R304=Parametres!$G$2,$R304=Parametres!$G$3),J304,D304)</f>
        <v>0</v>
      </c>
      <c r="P304" s="1085">
        <f>+IF(OR($R304=Parametres!$G$2,$R304=Parametres!$G$3),K304,E304)</f>
        <v>0</v>
      </c>
      <c r="Q304" s="152">
        <f>+IF(OR($R304=Parametres!$G$2,$R304=Parametres!$G$3),L304,F304)</f>
        <v>0</v>
      </c>
      <c r="R304" s="151">
        <f t="shared" si="27"/>
        <v>0</v>
      </c>
      <c r="S304" s="150">
        <f t="shared" si="28"/>
        <v>0</v>
      </c>
      <c r="T304" s="151">
        <f t="shared" si="29"/>
        <v>0</v>
      </c>
      <c r="U304" s="153" t="e">
        <f>+VLOOKUP($M304,Data_Validation!$A:$D,1,0)</f>
        <v>#N/A</v>
      </c>
      <c r="V304" s="153" t="e">
        <f>+VLOOKUP($M304,Data_Validation!$A:$D,3,0)</f>
        <v>#N/A</v>
      </c>
      <c r="W304" s="153" t="e">
        <f>+VLOOKUP($M304,Data_Validation!$A:$D,4,0)</f>
        <v>#N/A</v>
      </c>
      <c r="X304" s="153" t="e">
        <f>+VLOOKUP($M304,Data_Validation!$A:$E,5,0)</f>
        <v>#N/A</v>
      </c>
      <c r="Y304" s="153" t="e">
        <f>+VLOOKUP($M304,Data_Validation!$A:$F,6,0)</f>
        <v>#N/A</v>
      </c>
    </row>
    <row r="305" spans="2:25" ht="15.75" customHeight="1">
      <c r="B305" s="1398"/>
      <c r="C305" s="1401"/>
      <c r="D305" s="1400"/>
      <c r="E305" s="1400"/>
      <c r="F305" s="1400"/>
      <c r="G305" s="1398"/>
      <c r="H305" s="1398"/>
      <c r="I305" s="948"/>
      <c r="J305" s="949"/>
      <c r="K305" s="949"/>
      <c r="L305" s="949"/>
      <c r="M305" s="150">
        <f t="shared" si="25"/>
        <v>0</v>
      </c>
      <c r="N305" s="151">
        <f t="shared" si="26"/>
        <v>0</v>
      </c>
      <c r="O305" s="152">
        <f>+IF(OR($R305=Parametres!$G$2,$R305=Parametres!$G$3),J305,D305)</f>
        <v>0</v>
      </c>
      <c r="P305" s="1085">
        <f>+IF(OR($R305=Parametres!$G$2,$R305=Parametres!$G$3),K305,E305)</f>
        <v>0</v>
      </c>
      <c r="Q305" s="152">
        <f>+IF(OR($R305=Parametres!$G$2,$R305=Parametres!$G$3),L305,F305)</f>
        <v>0</v>
      </c>
      <c r="R305" s="151">
        <f t="shared" si="27"/>
        <v>0</v>
      </c>
      <c r="S305" s="150">
        <f t="shared" si="28"/>
        <v>0</v>
      </c>
      <c r="T305" s="151">
        <f t="shared" si="29"/>
        <v>0</v>
      </c>
      <c r="U305" s="153" t="e">
        <f>+VLOOKUP($M305,Data_Validation!$A:$D,1,0)</f>
        <v>#N/A</v>
      </c>
      <c r="V305" s="153" t="e">
        <f>+VLOOKUP($M305,Data_Validation!$A:$D,3,0)</f>
        <v>#N/A</v>
      </c>
      <c r="W305" s="153" t="e">
        <f>+VLOOKUP($M305,Data_Validation!$A:$D,4,0)</f>
        <v>#N/A</v>
      </c>
      <c r="X305" s="153" t="e">
        <f>+VLOOKUP($M305,Data_Validation!$A:$E,5,0)</f>
        <v>#N/A</v>
      </c>
      <c r="Y305" s="153" t="e">
        <f>+VLOOKUP($M305,Data_Validation!$A:$F,6,0)</f>
        <v>#N/A</v>
      </c>
    </row>
    <row r="306" spans="2:25" ht="15" customHeight="1">
      <c r="B306" s="1398"/>
      <c r="C306" s="1401"/>
      <c r="D306" s="1400"/>
      <c r="E306" s="1400"/>
      <c r="F306" s="1400"/>
      <c r="G306" s="1398"/>
      <c r="H306" s="1398"/>
      <c r="I306" s="1198"/>
      <c r="J306" s="1203"/>
      <c r="K306" s="1198"/>
      <c r="L306" s="1203"/>
      <c r="M306" s="150">
        <f t="shared" si="25"/>
        <v>0</v>
      </c>
      <c r="N306" s="151">
        <f t="shared" si="26"/>
        <v>0</v>
      </c>
      <c r="O306" s="152">
        <f>+IF(OR($R306=Parametres!$G$2,$R306=Parametres!$G$3),J306,D306)</f>
        <v>0</v>
      </c>
      <c r="P306" s="1083">
        <f>+IF(OR($R306=Parametres!$G$2,$R306=Parametres!$G$3),K306,E306)</f>
        <v>0</v>
      </c>
      <c r="Q306" s="152">
        <f>+IF(OR($R306=Parametres!$G$2,$R306=Parametres!$G$3),L306,F306)</f>
        <v>0</v>
      </c>
      <c r="R306" s="151">
        <f t="shared" si="27"/>
        <v>0</v>
      </c>
      <c r="S306" s="150">
        <f t="shared" si="28"/>
        <v>0</v>
      </c>
      <c r="T306" s="151">
        <f t="shared" si="29"/>
        <v>0</v>
      </c>
      <c r="U306" s="153" t="e">
        <f>+VLOOKUP($M306,Data_Validation!$A:$D,1,0)</f>
        <v>#N/A</v>
      </c>
      <c r="V306" s="153" t="e">
        <f>+VLOOKUP($M306,Data_Validation!$A:$D,3,0)</f>
        <v>#N/A</v>
      </c>
      <c r="W306" s="153" t="e">
        <f>+VLOOKUP($M306,Data_Validation!$A:$D,4,0)</f>
        <v>#N/A</v>
      </c>
      <c r="X306" s="153" t="e">
        <f>+VLOOKUP($M306,Data_Validation!$A:$E,5,0)</f>
        <v>#N/A</v>
      </c>
      <c r="Y306" s="153" t="e">
        <f>+VLOOKUP($M306,Data_Validation!$A:$F,6,0)</f>
        <v>#N/A</v>
      </c>
    </row>
    <row r="307" spans="2:25" ht="15" customHeight="1">
      <c r="B307" s="1398"/>
      <c r="C307" s="1401"/>
      <c r="D307" s="1400"/>
      <c r="E307" s="1400"/>
      <c r="F307" s="1400"/>
      <c r="G307" s="1398"/>
      <c r="H307" s="1398"/>
      <c r="I307" s="1198"/>
      <c r="J307" s="1198"/>
      <c r="K307" s="1198"/>
      <c r="L307" s="1198"/>
      <c r="M307" s="150">
        <f t="shared" si="25"/>
        <v>0</v>
      </c>
      <c r="N307" s="151">
        <f t="shared" si="26"/>
        <v>0</v>
      </c>
      <c r="O307" s="152">
        <f>+IF(OR($R307=Parametres!$G$2,$R307=Parametres!$G$3),J307,D307)</f>
        <v>0</v>
      </c>
      <c r="P307" s="1083">
        <f>+IF(OR($R307=Parametres!$G$2,$R307=Parametres!$G$3),K307,E307)</f>
        <v>0</v>
      </c>
      <c r="Q307" s="152">
        <f>+IF(OR($R307=Parametres!$G$2,$R307=Parametres!$G$3),L307,F307)</f>
        <v>0</v>
      </c>
      <c r="R307" s="151">
        <f t="shared" si="27"/>
        <v>0</v>
      </c>
      <c r="S307" s="150">
        <f t="shared" si="28"/>
        <v>0</v>
      </c>
      <c r="T307" s="151">
        <f t="shared" si="29"/>
        <v>0</v>
      </c>
      <c r="U307" s="153" t="e">
        <f>+VLOOKUP($M307,Data_Validation!$A:$D,1,0)</f>
        <v>#N/A</v>
      </c>
      <c r="V307" s="153" t="e">
        <f>+VLOOKUP($M307,Data_Validation!$A:$D,3,0)</f>
        <v>#N/A</v>
      </c>
      <c r="W307" s="153" t="e">
        <f>+VLOOKUP($M307,Data_Validation!$A:$D,4,0)</f>
        <v>#N/A</v>
      </c>
      <c r="X307" s="153" t="e">
        <f>+VLOOKUP($M307,Data_Validation!$A:$E,5,0)</f>
        <v>#N/A</v>
      </c>
      <c r="Y307" s="153" t="e">
        <f>+VLOOKUP($M307,Data_Validation!$A:$F,6,0)</f>
        <v>#N/A</v>
      </c>
    </row>
    <row r="308" spans="2:25" ht="15" customHeight="1">
      <c r="B308" s="1398"/>
      <c r="C308" s="1401"/>
      <c r="D308" s="1400"/>
      <c r="E308" s="1400"/>
      <c r="F308" s="1400"/>
      <c r="G308" s="1398"/>
      <c r="H308" s="1398"/>
      <c r="I308" s="928"/>
      <c r="J308" s="927"/>
      <c r="K308" s="927"/>
      <c r="L308" s="927"/>
      <c r="M308" s="150">
        <f t="shared" si="25"/>
        <v>0</v>
      </c>
      <c r="N308" s="151">
        <f t="shared" si="26"/>
        <v>0</v>
      </c>
      <c r="O308" s="152">
        <f>+IF(OR($R308=Parametres!$G$2,$R308=Parametres!$G$3),J308,D308)</f>
        <v>0</v>
      </c>
      <c r="P308" s="1085">
        <f>+IF(OR($R308=Parametres!$G$2,$R308=Parametres!$G$3),K308,E308)</f>
        <v>0</v>
      </c>
      <c r="Q308" s="152">
        <f>+IF(OR($R308=Parametres!$G$2,$R308=Parametres!$G$3),L308,F308)</f>
        <v>0</v>
      </c>
      <c r="R308" s="151">
        <f t="shared" si="27"/>
        <v>0</v>
      </c>
      <c r="S308" s="150">
        <f t="shared" si="28"/>
        <v>0</v>
      </c>
      <c r="T308" s="151">
        <f t="shared" si="29"/>
        <v>0</v>
      </c>
      <c r="U308" s="153" t="e">
        <f>+VLOOKUP($M308,Data_Validation!$A:$D,1,0)</f>
        <v>#N/A</v>
      </c>
      <c r="V308" s="153" t="e">
        <f>+VLOOKUP($M308,Data_Validation!$A:$D,3,0)</f>
        <v>#N/A</v>
      </c>
      <c r="W308" s="153" t="e">
        <f>+VLOOKUP($M308,Data_Validation!$A:$D,4,0)</f>
        <v>#N/A</v>
      </c>
      <c r="X308" s="153" t="e">
        <f>+VLOOKUP($M308,Data_Validation!$A:$E,5,0)</f>
        <v>#N/A</v>
      </c>
      <c r="Y308" s="153" t="e">
        <f>+VLOOKUP($M308,Data_Validation!$A:$F,6,0)</f>
        <v>#N/A</v>
      </c>
    </row>
    <row r="309" spans="2:25" ht="15.75" customHeight="1">
      <c r="B309" s="1398"/>
      <c r="C309" s="1401"/>
      <c r="D309" s="1400"/>
      <c r="E309" s="1400"/>
      <c r="F309" s="1400"/>
      <c r="G309" s="1398"/>
      <c r="H309" s="1398"/>
      <c r="I309" s="948"/>
      <c r="J309" s="949"/>
      <c r="K309" s="949"/>
      <c r="L309" s="949"/>
      <c r="M309" s="150">
        <f t="shared" si="25"/>
        <v>0</v>
      </c>
      <c r="N309" s="151">
        <f t="shared" si="26"/>
        <v>0</v>
      </c>
      <c r="O309" s="152">
        <f>+IF(OR($R309=Parametres!$G$2,$R309=Parametres!$G$3),J309,D309)</f>
        <v>0</v>
      </c>
      <c r="P309" s="1085">
        <f>+IF(OR($R309=Parametres!$G$2,$R309=Parametres!$G$3),K309,E309)</f>
        <v>0</v>
      </c>
      <c r="Q309" s="152">
        <f>+IF(OR($R309=Parametres!$G$2,$R309=Parametres!$G$3),L309,F309)</f>
        <v>0</v>
      </c>
      <c r="R309" s="151">
        <f t="shared" si="27"/>
        <v>0</v>
      </c>
      <c r="S309" s="150">
        <f t="shared" si="28"/>
        <v>0</v>
      </c>
      <c r="T309" s="151">
        <f t="shared" si="29"/>
        <v>0</v>
      </c>
      <c r="U309" s="153" t="e">
        <f>+VLOOKUP($M309,Data_Validation!$A:$D,1,0)</f>
        <v>#N/A</v>
      </c>
      <c r="V309" s="153" t="e">
        <f>+VLOOKUP($M309,Data_Validation!$A:$D,3,0)</f>
        <v>#N/A</v>
      </c>
      <c r="W309" s="153" t="e">
        <f>+VLOOKUP($M309,Data_Validation!$A:$D,4,0)</f>
        <v>#N/A</v>
      </c>
      <c r="X309" s="153" t="e">
        <f>+VLOOKUP($M309,Data_Validation!$A:$E,5,0)</f>
        <v>#N/A</v>
      </c>
      <c r="Y309" s="153" t="e">
        <f>+VLOOKUP($M309,Data_Validation!$A:$F,6,0)</f>
        <v>#N/A</v>
      </c>
    </row>
    <row r="310" spans="2:25" ht="15" customHeight="1">
      <c r="B310" s="1398"/>
      <c r="C310" s="1401"/>
      <c r="D310" s="1400"/>
      <c r="E310" s="1400"/>
      <c r="F310" s="1400"/>
      <c r="G310" s="1398"/>
      <c r="H310" s="1398"/>
      <c r="I310" s="948"/>
      <c r="J310" s="949"/>
      <c r="K310" s="949"/>
      <c r="L310" s="949"/>
      <c r="M310" s="150">
        <f t="shared" si="25"/>
        <v>0</v>
      </c>
      <c r="N310" s="151">
        <f t="shared" si="26"/>
        <v>0</v>
      </c>
      <c r="O310" s="152">
        <f>+IF(OR($R310=Parametres!$G$2,$R310=Parametres!$G$3),J310,D310)</f>
        <v>0</v>
      </c>
      <c r="P310" s="1085">
        <f>+IF(OR($R310=Parametres!$G$2,$R310=Parametres!$G$3),K310,E310)</f>
        <v>0</v>
      </c>
      <c r="Q310" s="152">
        <f>+IF(OR($R310=Parametres!$G$2,$R310=Parametres!$G$3),L310,F310)</f>
        <v>0</v>
      </c>
      <c r="R310" s="151">
        <f t="shared" si="27"/>
        <v>0</v>
      </c>
      <c r="S310" s="150">
        <f t="shared" si="28"/>
        <v>0</v>
      </c>
      <c r="T310" s="151">
        <f t="shared" si="29"/>
        <v>0</v>
      </c>
      <c r="U310" s="153" t="e">
        <f>+VLOOKUP($M310,Data_Validation!$A:$D,1,0)</f>
        <v>#N/A</v>
      </c>
      <c r="V310" s="153" t="e">
        <f>+VLOOKUP($M310,Data_Validation!$A:$D,3,0)</f>
        <v>#N/A</v>
      </c>
      <c r="W310" s="153" t="e">
        <f>+VLOOKUP($M310,Data_Validation!$A:$D,4,0)</f>
        <v>#N/A</v>
      </c>
      <c r="X310" s="153" t="e">
        <f>+VLOOKUP($M310,Data_Validation!$A:$E,5,0)</f>
        <v>#N/A</v>
      </c>
      <c r="Y310" s="153" t="e">
        <f>+VLOOKUP($M310,Data_Validation!$A:$F,6,0)</f>
        <v>#N/A</v>
      </c>
    </row>
    <row r="311" spans="2:25" ht="15" customHeight="1">
      <c r="B311" s="1398"/>
      <c r="C311" s="1401"/>
      <c r="D311" s="1400"/>
      <c r="E311" s="1400"/>
      <c r="F311" s="1400"/>
      <c r="G311" s="1398"/>
      <c r="H311" s="1398"/>
      <c r="I311" s="948"/>
      <c r="J311" s="949"/>
      <c r="K311" s="949"/>
      <c r="L311" s="949"/>
      <c r="M311" s="150">
        <f t="shared" si="25"/>
        <v>0</v>
      </c>
      <c r="N311" s="151">
        <f t="shared" si="26"/>
        <v>0</v>
      </c>
      <c r="O311" s="152">
        <f>+IF(OR($R311=Parametres!$G$2,$R311=Parametres!$G$3),J311,D311)</f>
        <v>0</v>
      </c>
      <c r="P311" s="1085">
        <f>+IF(OR($R311=Parametres!$G$2,$R311=Parametres!$G$3),K311,E311)</f>
        <v>0</v>
      </c>
      <c r="Q311" s="152">
        <f>+IF(OR($R311=Parametres!$G$2,$R311=Parametres!$G$3),L311,F311)</f>
        <v>0</v>
      </c>
      <c r="R311" s="151">
        <f t="shared" si="27"/>
        <v>0</v>
      </c>
      <c r="S311" s="150">
        <f t="shared" si="28"/>
        <v>0</v>
      </c>
      <c r="T311" s="151">
        <f t="shared" si="29"/>
        <v>0</v>
      </c>
      <c r="U311" s="153" t="e">
        <f>+VLOOKUP($M311,Data_Validation!$A:$D,1,0)</f>
        <v>#N/A</v>
      </c>
      <c r="V311" s="153" t="e">
        <f>+VLOOKUP($M311,Data_Validation!$A:$D,3,0)</f>
        <v>#N/A</v>
      </c>
      <c r="W311" s="153" t="e">
        <f>+VLOOKUP($M311,Data_Validation!$A:$D,4,0)</f>
        <v>#N/A</v>
      </c>
      <c r="X311" s="153" t="e">
        <f>+VLOOKUP($M311,Data_Validation!$A:$E,5,0)</f>
        <v>#N/A</v>
      </c>
      <c r="Y311" s="153" t="e">
        <f>+VLOOKUP($M311,Data_Validation!$A:$F,6,0)</f>
        <v>#N/A</v>
      </c>
    </row>
    <row r="312" spans="2:25" ht="15" customHeight="1">
      <c r="B312" s="1398"/>
      <c r="C312" s="1401"/>
      <c r="D312" s="1400"/>
      <c r="E312" s="1400"/>
      <c r="F312" s="1400"/>
      <c r="G312" s="1398"/>
      <c r="H312" s="1398"/>
      <c r="I312" s="928"/>
      <c r="J312" s="928"/>
      <c r="K312" s="928"/>
      <c r="L312" s="928"/>
      <c r="M312" s="150">
        <f t="shared" si="25"/>
        <v>0</v>
      </c>
      <c r="N312" s="151">
        <f t="shared" si="26"/>
        <v>0</v>
      </c>
      <c r="O312" s="152">
        <f>+IF(OR($R312=Parametres!$G$2,$R312=Parametres!$G$3),J312,D312)</f>
        <v>0</v>
      </c>
      <c r="P312" s="1085">
        <f>+IF(OR($R312=Parametres!$G$2,$R312=Parametres!$G$3),K312,E312)</f>
        <v>0</v>
      </c>
      <c r="Q312" s="152">
        <f>+IF(OR($R312=Parametres!$G$2,$R312=Parametres!$G$3),L312,F312)</f>
        <v>0</v>
      </c>
      <c r="R312" s="151">
        <f t="shared" si="27"/>
        <v>0</v>
      </c>
      <c r="S312" s="150">
        <f t="shared" si="28"/>
        <v>0</v>
      </c>
      <c r="T312" s="151">
        <f t="shared" si="29"/>
        <v>0</v>
      </c>
      <c r="U312" s="153" t="e">
        <f>+VLOOKUP($M312,Data_Validation!$A:$D,1,0)</f>
        <v>#N/A</v>
      </c>
      <c r="V312" s="153" t="e">
        <f>+VLOOKUP($M312,Data_Validation!$A:$D,3,0)</f>
        <v>#N/A</v>
      </c>
      <c r="W312" s="153" t="e">
        <f>+VLOOKUP($M312,Data_Validation!$A:$D,4,0)</f>
        <v>#N/A</v>
      </c>
      <c r="X312" s="153" t="e">
        <f>+VLOOKUP($M312,Data_Validation!$A:$E,5,0)</f>
        <v>#N/A</v>
      </c>
      <c r="Y312" s="153" t="e">
        <f>+VLOOKUP($M312,Data_Validation!$A:$F,6,0)</f>
        <v>#N/A</v>
      </c>
    </row>
    <row r="313" spans="2:25" ht="15" customHeight="1">
      <c r="B313" s="1398"/>
      <c r="C313" s="1401"/>
      <c r="D313" s="1400"/>
      <c r="E313" s="1400"/>
      <c r="F313" s="1400"/>
      <c r="G313" s="1398"/>
      <c r="H313" s="1398"/>
      <c r="I313" s="948"/>
      <c r="J313" s="951"/>
      <c r="K313" s="951"/>
      <c r="L313" s="951"/>
      <c r="M313" s="150">
        <f t="shared" si="25"/>
        <v>0</v>
      </c>
      <c r="N313" s="151">
        <f t="shared" si="26"/>
        <v>0</v>
      </c>
      <c r="O313" s="152">
        <f>+IF(OR($R313=Parametres!$G$2,$R313=Parametres!$G$3),J313,D313)</f>
        <v>0</v>
      </c>
      <c r="P313" s="1085">
        <f>+IF(OR($R313=Parametres!$G$2,$R313=Parametres!$G$3),K313,E313)</f>
        <v>0</v>
      </c>
      <c r="Q313" s="152">
        <f>+IF(OR($R313=Parametres!$G$2,$R313=Parametres!$G$3),L313,F313)</f>
        <v>0</v>
      </c>
      <c r="R313" s="151">
        <f t="shared" si="27"/>
        <v>0</v>
      </c>
      <c r="S313" s="150">
        <f t="shared" si="28"/>
        <v>0</v>
      </c>
      <c r="T313" s="151">
        <f t="shared" si="29"/>
        <v>0</v>
      </c>
      <c r="U313" s="153" t="e">
        <f>+VLOOKUP($M313,Data_Validation!$A:$D,1,0)</f>
        <v>#N/A</v>
      </c>
      <c r="V313" s="153" t="e">
        <f>+VLOOKUP($M313,Data_Validation!$A:$D,3,0)</f>
        <v>#N/A</v>
      </c>
      <c r="W313" s="153" t="e">
        <f>+VLOOKUP($M313,Data_Validation!$A:$D,4,0)</f>
        <v>#N/A</v>
      </c>
      <c r="X313" s="153" t="e">
        <f>+VLOOKUP($M313,Data_Validation!$A:$E,5,0)</f>
        <v>#N/A</v>
      </c>
      <c r="Y313" s="153" t="e">
        <f>+VLOOKUP($M313,Data_Validation!$A:$F,6,0)</f>
        <v>#N/A</v>
      </c>
    </row>
    <row r="314" spans="2:25" ht="15" customHeight="1">
      <c r="B314" s="1398"/>
      <c r="C314" s="1401"/>
      <c r="D314" s="1400"/>
      <c r="E314" s="1400"/>
      <c r="F314" s="1400"/>
      <c r="G314" s="1398"/>
      <c r="H314" s="1398"/>
      <c r="I314" s="1198"/>
      <c r="J314" s="1198"/>
      <c r="K314" s="1198"/>
      <c r="L314" s="1198"/>
      <c r="M314" s="150">
        <f t="shared" si="25"/>
        <v>0</v>
      </c>
      <c r="N314" s="151">
        <f t="shared" si="26"/>
        <v>0</v>
      </c>
      <c r="O314" s="152">
        <f>+IF(OR($R314=Parametres!$G$2,$R314=Parametres!$G$3),J314,D314)</f>
        <v>0</v>
      </c>
      <c r="P314" s="1083">
        <f>+IF(OR($R314=Parametres!$G$2,$R314=Parametres!$G$3),K314,E314)</f>
        <v>0</v>
      </c>
      <c r="Q314" s="152">
        <f>+IF(OR($R314=Parametres!$G$2,$R314=Parametres!$G$3),L314,F314)</f>
        <v>0</v>
      </c>
      <c r="R314" s="151">
        <f t="shared" si="27"/>
        <v>0</v>
      </c>
      <c r="S314" s="150">
        <f t="shared" si="28"/>
        <v>0</v>
      </c>
      <c r="T314" s="151">
        <f t="shared" si="29"/>
        <v>0</v>
      </c>
      <c r="U314" s="153" t="e">
        <f>+VLOOKUP($M314,Data_Validation!$A:$D,1,0)</f>
        <v>#N/A</v>
      </c>
      <c r="V314" s="153" t="e">
        <f>+VLOOKUP($M314,Data_Validation!$A:$D,3,0)</f>
        <v>#N/A</v>
      </c>
      <c r="W314" s="153" t="e">
        <f>+VLOOKUP($M314,Data_Validation!$A:$D,4,0)</f>
        <v>#N/A</v>
      </c>
      <c r="X314" s="153" t="e">
        <f>+VLOOKUP($M314,Data_Validation!$A:$E,5,0)</f>
        <v>#N/A</v>
      </c>
      <c r="Y314" s="153" t="e">
        <f>+VLOOKUP($M314,Data_Validation!$A:$F,6,0)</f>
        <v>#N/A</v>
      </c>
    </row>
    <row r="315" spans="2:25" ht="15" customHeight="1">
      <c r="B315" s="1398"/>
      <c r="C315" s="1401"/>
      <c r="D315" s="1400"/>
      <c r="E315" s="1400"/>
      <c r="F315" s="1400"/>
      <c r="G315" s="1398"/>
      <c r="H315" s="1398"/>
      <c r="I315" s="1198"/>
      <c r="J315" s="1199"/>
      <c r="K315" s="1199"/>
      <c r="L315" s="1199"/>
      <c r="M315" s="150">
        <f t="shared" si="25"/>
        <v>0</v>
      </c>
      <c r="N315" s="151">
        <f t="shared" si="26"/>
        <v>0</v>
      </c>
      <c r="O315" s="152">
        <f>+IF(OR($R315=Parametres!$G$2,$R315=Parametres!$G$3),J315,D315)</f>
        <v>0</v>
      </c>
      <c r="P315" s="1085">
        <f>+IF(OR($R315=Parametres!$G$2,$R315=Parametres!$G$3),K315,E315)</f>
        <v>0</v>
      </c>
      <c r="Q315" s="152">
        <f>+IF(OR($R315=Parametres!$G$2,$R315=Parametres!$G$3),L315,F315)</f>
        <v>0</v>
      </c>
      <c r="R315" s="151">
        <f t="shared" si="27"/>
        <v>0</v>
      </c>
      <c r="S315" s="150">
        <f t="shared" si="28"/>
        <v>0</v>
      </c>
      <c r="T315" s="151">
        <f t="shared" si="29"/>
        <v>0</v>
      </c>
      <c r="U315" s="153" t="e">
        <f>+VLOOKUP($M315,Data_Validation!$A:$D,1,0)</f>
        <v>#N/A</v>
      </c>
      <c r="V315" s="153" t="e">
        <f>+VLOOKUP($M315,Data_Validation!$A:$D,3,0)</f>
        <v>#N/A</v>
      </c>
      <c r="W315" s="153" t="e">
        <f>+VLOOKUP($M315,Data_Validation!$A:$D,4,0)</f>
        <v>#N/A</v>
      </c>
      <c r="X315" s="153" t="e">
        <f>+VLOOKUP($M315,Data_Validation!$A:$E,5,0)</f>
        <v>#N/A</v>
      </c>
      <c r="Y315" s="153" t="e">
        <f>+VLOOKUP($M315,Data_Validation!$A:$F,6,0)</f>
        <v>#N/A</v>
      </c>
    </row>
    <row r="316" spans="2:25" ht="15" customHeight="1">
      <c r="B316" s="1398"/>
      <c r="C316" s="1401"/>
      <c r="D316" s="1400"/>
      <c r="E316" s="1400"/>
      <c r="F316" s="1400"/>
      <c r="G316" s="1398"/>
      <c r="H316" s="1398"/>
      <c r="I316" s="1198"/>
      <c r="J316" s="1198"/>
      <c r="K316" s="1198"/>
      <c r="L316" s="1198"/>
      <c r="M316" s="150">
        <f t="shared" si="25"/>
        <v>0</v>
      </c>
      <c r="N316" s="151">
        <f t="shared" si="26"/>
        <v>0</v>
      </c>
      <c r="O316" s="152">
        <f>+IF(OR($R316=Parametres!$G$2,$R316=Parametres!$G$3),J316,D316)</f>
        <v>0</v>
      </c>
      <c r="P316" s="1085">
        <f>+IF(OR($R316=Parametres!$G$2,$R316=Parametres!$G$3),K316,E316)</f>
        <v>0</v>
      </c>
      <c r="Q316" s="152">
        <f>+IF(OR($R316=Parametres!$G$2,$R316=Parametres!$G$3),L316,F316)</f>
        <v>0</v>
      </c>
      <c r="R316" s="151">
        <f t="shared" si="27"/>
        <v>0</v>
      </c>
      <c r="S316" s="150">
        <f t="shared" si="28"/>
        <v>0</v>
      </c>
      <c r="T316" s="151">
        <f t="shared" si="29"/>
        <v>0</v>
      </c>
      <c r="U316" s="153" t="e">
        <f>+VLOOKUP($M316,Data_Validation!$A:$D,1,0)</f>
        <v>#N/A</v>
      </c>
      <c r="V316" s="153" t="e">
        <f>+VLOOKUP($M316,Data_Validation!$A:$D,3,0)</f>
        <v>#N/A</v>
      </c>
      <c r="W316" s="153" t="e">
        <f>+VLOOKUP($M316,Data_Validation!$A:$D,4,0)</f>
        <v>#N/A</v>
      </c>
      <c r="X316" s="153" t="e">
        <f>+VLOOKUP($M316,Data_Validation!$A:$E,5,0)</f>
        <v>#N/A</v>
      </c>
      <c r="Y316" s="153" t="e">
        <f>+VLOOKUP($M316,Data_Validation!$A:$F,6,0)</f>
        <v>#N/A</v>
      </c>
    </row>
    <row r="317" spans="2:25" ht="15" customHeight="1">
      <c r="B317" s="1398"/>
      <c r="C317" s="1401"/>
      <c r="D317" s="1400"/>
      <c r="E317" s="1400"/>
      <c r="F317" s="1400"/>
      <c r="G317" s="1398"/>
      <c r="H317" s="1398"/>
      <c r="I317" s="1198"/>
      <c r="J317" s="1199"/>
      <c r="K317" s="1199"/>
      <c r="L317" s="1199"/>
      <c r="M317" s="150">
        <f t="shared" si="25"/>
        <v>0</v>
      </c>
      <c r="N317" s="151">
        <f t="shared" si="26"/>
        <v>0</v>
      </c>
      <c r="O317" s="152">
        <f>+IF(OR($R317=Parametres!$G$2,$R317=Parametres!$G$3),J317,D317)</f>
        <v>0</v>
      </c>
      <c r="P317" s="1083">
        <f>+IF(OR($R317=Parametres!$G$2,$R317=Parametres!$G$3),K317,E317)</f>
        <v>0</v>
      </c>
      <c r="Q317" s="152">
        <f>+IF(OR($R317=Parametres!$G$2,$R317=Parametres!$G$3),L317,F317)</f>
        <v>0</v>
      </c>
      <c r="R317" s="151">
        <f t="shared" si="27"/>
        <v>0</v>
      </c>
      <c r="S317" s="150">
        <f t="shared" si="28"/>
        <v>0</v>
      </c>
      <c r="T317" s="151">
        <f t="shared" si="29"/>
        <v>0</v>
      </c>
      <c r="U317" s="153" t="e">
        <f>+VLOOKUP($M317,Data_Validation!$A:$D,1,0)</f>
        <v>#N/A</v>
      </c>
      <c r="V317" s="153" t="e">
        <f>+VLOOKUP($M317,Data_Validation!$A:$D,3,0)</f>
        <v>#N/A</v>
      </c>
      <c r="W317" s="153" t="e">
        <f>+VLOOKUP($M317,Data_Validation!$A:$D,4,0)</f>
        <v>#N/A</v>
      </c>
      <c r="X317" s="153" t="e">
        <f>+VLOOKUP($M317,Data_Validation!$A:$E,5,0)</f>
        <v>#N/A</v>
      </c>
      <c r="Y317" s="153" t="e">
        <f>+VLOOKUP($M317,Data_Validation!$A:$F,6,0)</f>
        <v>#N/A</v>
      </c>
    </row>
    <row r="318" spans="2:25" ht="15.75" customHeight="1">
      <c r="B318" s="1398"/>
      <c r="C318" s="1401"/>
      <c r="D318" s="1400"/>
      <c r="E318" s="1400"/>
      <c r="F318" s="1400"/>
      <c r="G318" s="1398"/>
      <c r="H318" s="1398"/>
      <c r="I318" s="1198"/>
      <c r="J318" s="1198"/>
      <c r="K318" s="1198"/>
      <c r="L318" s="1198"/>
      <c r="M318" s="150">
        <f t="shared" si="25"/>
        <v>0</v>
      </c>
      <c r="N318" s="151">
        <f t="shared" si="26"/>
        <v>0</v>
      </c>
      <c r="O318" s="152">
        <f>+IF(OR($R318=Parametres!$G$2,$R318=Parametres!$G$3),J318,D318)</f>
        <v>0</v>
      </c>
      <c r="P318" s="1085">
        <f>+IF(OR($R318=Parametres!$G$2,$R318=Parametres!$G$3),K318,E318)</f>
        <v>0</v>
      </c>
      <c r="Q318" s="152">
        <f>+IF(OR($R318=Parametres!$G$2,$R318=Parametres!$G$3),L318,F318)</f>
        <v>0</v>
      </c>
      <c r="R318" s="151">
        <f t="shared" si="27"/>
        <v>0</v>
      </c>
      <c r="S318" s="150">
        <f t="shared" si="28"/>
        <v>0</v>
      </c>
      <c r="T318" s="151">
        <f t="shared" si="29"/>
        <v>0</v>
      </c>
      <c r="U318" s="153" t="e">
        <f>+VLOOKUP($M318,Data_Validation!$A:$D,1,0)</f>
        <v>#N/A</v>
      </c>
      <c r="V318" s="153" t="e">
        <f>+VLOOKUP($M318,Data_Validation!$A:$D,3,0)</f>
        <v>#N/A</v>
      </c>
      <c r="W318" s="153" t="e">
        <f>+VLOOKUP($M318,Data_Validation!$A:$D,4,0)</f>
        <v>#N/A</v>
      </c>
      <c r="X318" s="153" t="e">
        <f>+VLOOKUP($M318,Data_Validation!$A:$E,5,0)</f>
        <v>#N/A</v>
      </c>
      <c r="Y318" s="153" t="e">
        <f>+VLOOKUP($M318,Data_Validation!$A:$F,6,0)</f>
        <v>#N/A</v>
      </c>
    </row>
    <row r="319" spans="2:25" ht="15" customHeight="1">
      <c r="B319" s="1398"/>
      <c r="C319" s="1401"/>
      <c r="D319" s="1400"/>
      <c r="E319" s="1400"/>
      <c r="F319" s="1400"/>
      <c r="G319" s="1398"/>
      <c r="H319" s="1398"/>
      <c r="I319" s="1198"/>
      <c r="J319" s="1199"/>
      <c r="K319" s="1199"/>
      <c r="L319" s="1199"/>
      <c r="M319" s="150">
        <f t="shared" si="25"/>
        <v>0</v>
      </c>
      <c r="N319" s="151">
        <f t="shared" si="26"/>
        <v>0</v>
      </c>
      <c r="O319" s="152">
        <f>+IF(OR($R319=Parametres!$G$2,$R319=Parametres!$G$3),J319,D319)</f>
        <v>0</v>
      </c>
      <c r="P319" s="1083">
        <f>+IF(OR($R319=Parametres!$G$2,$R319=Parametres!$G$3),K319,E319)</f>
        <v>0</v>
      </c>
      <c r="Q319" s="152">
        <f>+IF(OR($R319=Parametres!$G$2,$R319=Parametres!$G$3),L319,F319)</f>
        <v>0</v>
      </c>
      <c r="R319" s="151">
        <f t="shared" si="27"/>
        <v>0</v>
      </c>
      <c r="S319" s="150">
        <f t="shared" si="28"/>
        <v>0</v>
      </c>
      <c r="T319" s="151">
        <f t="shared" si="29"/>
        <v>0</v>
      </c>
      <c r="U319" s="153" t="e">
        <f>+VLOOKUP($M319,Data_Validation!$A:$D,1,0)</f>
        <v>#N/A</v>
      </c>
      <c r="V319" s="153" t="e">
        <f>+VLOOKUP($M319,Data_Validation!$A:$D,3,0)</f>
        <v>#N/A</v>
      </c>
      <c r="W319" s="153" t="e">
        <f>+VLOOKUP($M319,Data_Validation!$A:$D,4,0)</f>
        <v>#N/A</v>
      </c>
      <c r="X319" s="153" t="e">
        <f>+VLOOKUP($M319,Data_Validation!$A:$E,5,0)</f>
        <v>#N/A</v>
      </c>
      <c r="Y319" s="153" t="e">
        <f>+VLOOKUP($M319,Data_Validation!$A:$F,6,0)</f>
        <v>#N/A</v>
      </c>
    </row>
    <row r="320" spans="2:25" ht="15" customHeight="1">
      <c r="B320" s="1398"/>
      <c r="C320" s="1401"/>
      <c r="D320" s="1400"/>
      <c r="E320" s="1400"/>
      <c r="F320" s="1400"/>
      <c r="G320" s="1398"/>
      <c r="H320" s="1398"/>
      <c r="I320" s="948"/>
      <c r="J320" s="949"/>
      <c r="K320" s="949"/>
      <c r="L320" s="949"/>
      <c r="M320" s="150">
        <f t="shared" si="25"/>
        <v>0</v>
      </c>
      <c r="N320" s="151">
        <f t="shared" si="26"/>
        <v>0</v>
      </c>
      <c r="O320" s="152">
        <f>+IF(OR($R320=Parametres!$G$2,$R320=Parametres!$G$3),J320,D320)</f>
        <v>0</v>
      </c>
      <c r="P320" s="1085">
        <f>+IF(OR($R320=Parametres!$G$2,$R320=Parametres!$G$3),K320,E320)</f>
        <v>0</v>
      </c>
      <c r="Q320" s="152">
        <f>+IF(OR($R320=Parametres!$G$2,$R320=Parametres!$G$3),L320,F320)</f>
        <v>0</v>
      </c>
      <c r="R320" s="151">
        <f t="shared" si="27"/>
        <v>0</v>
      </c>
      <c r="S320" s="150">
        <f t="shared" si="28"/>
        <v>0</v>
      </c>
      <c r="T320" s="151">
        <f t="shared" si="29"/>
        <v>0</v>
      </c>
      <c r="U320" s="153" t="e">
        <f>+VLOOKUP($M320,Data_Validation!$A:$D,1,0)</f>
        <v>#N/A</v>
      </c>
      <c r="V320" s="153" t="e">
        <f>+VLOOKUP($M320,Data_Validation!$A:$D,3,0)</f>
        <v>#N/A</v>
      </c>
      <c r="W320" s="153" t="e">
        <f>+VLOOKUP($M320,Data_Validation!$A:$D,4,0)</f>
        <v>#N/A</v>
      </c>
      <c r="X320" s="153" t="e">
        <f>+VLOOKUP($M320,Data_Validation!$A:$E,5,0)</f>
        <v>#N/A</v>
      </c>
      <c r="Y320" s="153" t="e">
        <f>+VLOOKUP($M320,Data_Validation!$A:$F,6,0)</f>
        <v>#N/A</v>
      </c>
    </row>
    <row r="321" spans="2:25" ht="15" customHeight="1">
      <c r="B321" s="1398"/>
      <c r="C321" s="1401"/>
      <c r="D321" s="1400"/>
      <c r="E321" s="1400"/>
      <c r="F321" s="1400"/>
      <c r="G321" s="1398"/>
      <c r="H321" s="1398"/>
      <c r="I321" s="948"/>
      <c r="J321" s="949"/>
      <c r="K321" s="949"/>
      <c r="L321" s="949"/>
      <c r="M321" s="150">
        <f t="shared" si="25"/>
        <v>0</v>
      </c>
      <c r="N321" s="151">
        <f t="shared" si="26"/>
        <v>0</v>
      </c>
      <c r="O321" s="152">
        <f>+IF(OR($R321=Parametres!$G$2,$R321=Parametres!$G$3),J321,D321)</f>
        <v>0</v>
      </c>
      <c r="P321" s="1085">
        <f>+IF(OR($R321=Parametres!$G$2,$R321=Parametres!$G$3),K321,E321)</f>
        <v>0</v>
      </c>
      <c r="Q321" s="152">
        <f>+IF(OR($R321=Parametres!$G$2,$R321=Parametres!$G$3),L321,F321)</f>
        <v>0</v>
      </c>
      <c r="R321" s="151">
        <f t="shared" si="27"/>
        <v>0</v>
      </c>
      <c r="S321" s="150">
        <f t="shared" si="28"/>
        <v>0</v>
      </c>
      <c r="T321" s="151">
        <f t="shared" si="29"/>
        <v>0</v>
      </c>
      <c r="U321" s="153" t="e">
        <f>+VLOOKUP($M321,Data_Validation!$A:$D,1,0)</f>
        <v>#N/A</v>
      </c>
      <c r="V321" s="153" t="e">
        <f>+VLOOKUP($M321,Data_Validation!$A:$D,3,0)</f>
        <v>#N/A</v>
      </c>
      <c r="W321" s="153" t="e">
        <f>+VLOOKUP($M321,Data_Validation!$A:$D,4,0)</f>
        <v>#N/A</v>
      </c>
      <c r="X321" s="153" t="e">
        <f>+VLOOKUP($M321,Data_Validation!$A:$E,5,0)</f>
        <v>#N/A</v>
      </c>
      <c r="Y321" s="153" t="e">
        <f>+VLOOKUP($M321,Data_Validation!$A:$F,6,0)</f>
        <v>#N/A</v>
      </c>
    </row>
    <row r="322" spans="2:25" ht="15.75" customHeight="1">
      <c r="B322" s="1398"/>
      <c r="C322" s="1401"/>
      <c r="D322" s="1400"/>
      <c r="E322" s="1400"/>
      <c r="F322" s="1400"/>
      <c r="G322" s="1398"/>
      <c r="H322" s="1398"/>
      <c r="I322" s="928"/>
      <c r="J322" s="928"/>
      <c r="K322" s="928"/>
      <c r="L322" s="928"/>
      <c r="M322" s="150">
        <f t="shared" si="25"/>
        <v>0</v>
      </c>
      <c r="N322" s="151">
        <f t="shared" si="26"/>
        <v>0</v>
      </c>
      <c r="O322" s="152">
        <f>+IF(OR($R322=Parametres!$G$2,$R322=Parametres!$G$3),J322,D322)</f>
        <v>0</v>
      </c>
      <c r="P322" s="1083">
        <f>+IF(OR($R322=Parametres!$G$2,$R322=Parametres!$G$3),K322,E322)</f>
        <v>0</v>
      </c>
      <c r="Q322" s="152">
        <f>+IF(OR($R322=Parametres!$G$2,$R322=Parametres!$G$3),L322,F322)</f>
        <v>0</v>
      </c>
      <c r="R322" s="151">
        <f t="shared" si="27"/>
        <v>0</v>
      </c>
      <c r="S322" s="150">
        <f t="shared" si="28"/>
        <v>0</v>
      </c>
      <c r="T322" s="151">
        <f t="shared" si="29"/>
        <v>0</v>
      </c>
      <c r="U322" s="153" t="e">
        <f>+VLOOKUP($M322,Data_Validation!$A:$D,1,0)</f>
        <v>#N/A</v>
      </c>
      <c r="V322" s="153" t="e">
        <f>+VLOOKUP($M322,Data_Validation!$A:$D,3,0)</f>
        <v>#N/A</v>
      </c>
      <c r="W322" s="153" t="e">
        <f>+VLOOKUP($M322,Data_Validation!$A:$D,4,0)</f>
        <v>#N/A</v>
      </c>
      <c r="X322" s="153" t="e">
        <f>+VLOOKUP($M322,Data_Validation!$A:$E,5,0)</f>
        <v>#N/A</v>
      </c>
      <c r="Y322" s="153" t="e">
        <f>+VLOOKUP($M322,Data_Validation!$A:$F,6,0)</f>
        <v>#N/A</v>
      </c>
    </row>
    <row r="323" spans="2:25" ht="15" customHeight="1">
      <c r="B323" s="1398"/>
      <c r="C323" s="1401"/>
      <c r="D323" s="1400"/>
      <c r="E323" s="1400"/>
      <c r="F323" s="1400"/>
      <c r="G323" s="1398"/>
      <c r="H323" s="1398"/>
      <c r="I323" s="1198"/>
      <c r="J323" s="1199"/>
      <c r="K323" s="1199"/>
      <c r="L323" s="1199"/>
      <c r="M323" s="150">
        <f t="shared" si="25"/>
        <v>0</v>
      </c>
      <c r="N323" s="151">
        <f t="shared" si="26"/>
        <v>0</v>
      </c>
      <c r="O323" s="152">
        <f>+IF(OR($R323=Parametres!$G$2,$R323=Parametres!$G$3),J323,D323)</f>
        <v>0</v>
      </c>
      <c r="P323" s="1083">
        <f>+IF(OR($R323=Parametres!$G$2,$R323=Parametres!$G$3),K323,E323)</f>
        <v>0</v>
      </c>
      <c r="Q323" s="152">
        <f>+IF(OR($R323=Parametres!$G$2,$R323=Parametres!$G$3),L323,F323)</f>
        <v>0</v>
      </c>
      <c r="R323" s="151">
        <f t="shared" si="27"/>
        <v>0</v>
      </c>
      <c r="S323" s="150">
        <f t="shared" si="28"/>
        <v>0</v>
      </c>
      <c r="T323" s="151">
        <f t="shared" si="29"/>
        <v>0</v>
      </c>
      <c r="U323" s="153" t="e">
        <f>+VLOOKUP($M323,Data_Validation!$A:$D,1,0)</f>
        <v>#N/A</v>
      </c>
      <c r="V323" s="153" t="e">
        <f>+VLOOKUP($M323,Data_Validation!$A:$D,3,0)</f>
        <v>#N/A</v>
      </c>
      <c r="W323" s="153" t="e">
        <f>+VLOOKUP($M323,Data_Validation!$A:$D,4,0)</f>
        <v>#N/A</v>
      </c>
      <c r="X323" s="153" t="e">
        <f>+VLOOKUP($M323,Data_Validation!$A:$E,5,0)</f>
        <v>#N/A</v>
      </c>
      <c r="Y323" s="153" t="e">
        <f>+VLOOKUP($M323,Data_Validation!$A:$F,6,0)</f>
        <v>#N/A</v>
      </c>
    </row>
    <row r="324" spans="2:25" ht="15" customHeight="1">
      <c r="B324" s="1398"/>
      <c r="C324" s="1401"/>
      <c r="D324" s="1400"/>
      <c r="E324" s="1400"/>
      <c r="F324" s="1400"/>
      <c r="G324" s="1398"/>
      <c r="H324" s="1398"/>
      <c r="I324" s="1198"/>
      <c r="J324" s="1203"/>
      <c r="K324" s="1198"/>
      <c r="L324" s="1203"/>
      <c r="M324" s="150">
        <f t="shared" si="25"/>
        <v>0</v>
      </c>
      <c r="N324" s="151">
        <f t="shared" si="26"/>
        <v>0</v>
      </c>
      <c r="O324" s="152">
        <f>+IF(OR($R324=Parametres!$G$2,$R324=Parametres!$G$3),J324,D324)</f>
        <v>0</v>
      </c>
      <c r="P324" s="1085">
        <f>+IF(OR($R324=Parametres!$G$2,$R324=Parametres!$G$3),K324,E324)</f>
        <v>0</v>
      </c>
      <c r="Q324" s="152">
        <f>+IF(OR($R324=Parametres!$G$2,$R324=Parametres!$G$3),L324,F324)</f>
        <v>0</v>
      </c>
      <c r="R324" s="151">
        <f t="shared" si="27"/>
        <v>0</v>
      </c>
      <c r="S324" s="150">
        <f t="shared" si="28"/>
        <v>0</v>
      </c>
      <c r="T324" s="151">
        <f t="shared" si="29"/>
        <v>0</v>
      </c>
      <c r="U324" s="153" t="e">
        <f>+VLOOKUP($M324,Data_Validation!$A:$D,1,0)</f>
        <v>#N/A</v>
      </c>
      <c r="V324" s="153" t="e">
        <f>+VLOOKUP($M324,Data_Validation!$A:$D,3,0)</f>
        <v>#N/A</v>
      </c>
      <c r="W324" s="153" t="e">
        <f>+VLOOKUP($M324,Data_Validation!$A:$D,4,0)</f>
        <v>#N/A</v>
      </c>
      <c r="X324" s="153" t="e">
        <f>+VLOOKUP($M324,Data_Validation!$A:$E,5,0)</f>
        <v>#N/A</v>
      </c>
      <c r="Y324" s="153" t="e">
        <f>+VLOOKUP($M324,Data_Validation!$A:$F,6,0)</f>
        <v>#N/A</v>
      </c>
    </row>
    <row r="325" spans="2:25" ht="15" customHeight="1">
      <c r="B325" s="1398"/>
      <c r="C325" s="1401"/>
      <c r="D325" s="1400"/>
      <c r="E325" s="1400"/>
      <c r="F325" s="1400"/>
      <c r="G325" s="1398"/>
      <c r="H325" s="1398"/>
      <c r="I325" s="1198"/>
      <c r="J325" s="1203"/>
      <c r="K325" s="1198"/>
      <c r="L325" s="1203"/>
      <c r="M325" s="150">
        <f t="shared" si="25"/>
        <v>0</v>
      </c>
      <c r="N325" s="151">
        <f t="shared" si="26"/>
        <v>0</v>
      </c>
      <c r="O325" s="152">
        <f>+IF(OR($R325=Parametres!$G$2,$R325=Parametres!$G$3),J325,D325)</f>
        <v>0</v>
      </c>
      <c r="P325" s="1083">
        <f>+IF(OR($R325=Parametres!$G$2,$R325=Parametres!$G$3),K325,E325)</f>
        <v>0</v>
      </c>
      <c r="Q325" s="152">
        <f>+IF(OR($R325=Parametres!$G$2,$R325=Parametres!$G$3),L325,F325)</f>
        <v>0</v>
      </c>
      <c r="R325" s="151">
        <f t="shared" si="27"/>
        <v>0</v>
      </c>
      <c r="S325" s="150">
        <f t="shared" si="28"/>
        <v>0</v>
      </c>
      <c r="T325" s="151">
        <f t="shared" si="29"/>
        <v>0</v>
      </c>
      <c r="U325" s="153" t="e">
        <f>+VLOOKUP($M325,Data_Validation!$A:$D,1,0)</f>
        <v>#N/A</v>
      </c>
      <c r="V325" s="153" t="e">
        <f>+VLOOKUP($M325,Data_Validation!$A:$D,3,0)</f>
        <v>#N/A</v>
      </c>
      <c r="W325" s="153" t="e">
        <f>+VLOOKUP($M325,Data_Validation!$A:$D,4,0)</f>
        <v>#N/A</v>
      </c>
      <c r="X325" s="153" t="e">
        <f>+VLOOKUP($M325,Data_Validation!$A:$E,5,0)</f>
        <v>#N/A</v>
      </c>
      <c r="Y325" s="153" t="e">
        <f>+VLOOKUP($M325,Data_Validation!$A:$F,6,0)</f>
        <v>#N/A</v>
      </c>
    </row>
    <row r="326" spans="2:25" ht="15" customHeight="1">
      <c r="B326" s="1398"/>
      <c r="C326" s="1401"/>
      <c r="D326" s="1400"/>
      <c r="E326" s="1400"/>
      <c r="F326" s="1400"/>
      <c r="G326" s="1398"/>
      <c r="H326" s="1398"/>
      <c r="I326" s="1198"/>
      <c r="J326" s="1199"/>
      <c r="K326" s="1199"/>
      <c r="L326" s="1199"/>
      <c r="M326" s="150">
        <f t="shared" si="25"/>
        <v>0</v>
      </c>
      <c r="N326" s="151">
        <f t="shared" si="26"/>
        <v>0</v>
      </c>
      <c r="O326" s="152">
        <f>+IF(OR($R326=Parametres!$G$2,$R326=Parametres!$G$3),J326,D326)</f>
        <v>0</v>
      </c>
      <c r="P326" s="1083">
        <f>+IF(OR($R326=Parametres!$G$2,$R326=Parametres!$G$3),K326,E326)</f>
        <v>0</v>
      </c>
      <c r="Q326" s="152">
        <f>+IF(OR($R326=Parametres!$G$2,$R326=Parametres!$G$3),L326,F326)</f>
        <v>0</v>
      </c>
      <c r="R326" s="151">
        <f t="shared" si="27"/>
        <v>0</v>
      </c>
      <c r="S326" s="150">
        <f t="shared" si="28"/>
        <v>0</v>
      </c>
      <c r="T326" s="151">
        <f t="shared" si="29"/>
        <v>0</v>
      </c>
      <c r="U326" s="153" t="e">
        <f>+VLOOKUP($M326,Data_Validation!$A:$D,1,0)</f>
        <v>#N/A</v>
      </c>
      <c r="V326" s="153" t="e">
        <f>+VLOOKUP($M326,Data_Validation!$A:$D,3,0)</f>
        <v>#N/A</v>
      </c>
      <c r="W326" s="153" t="e">
        <f>+VLOOKUP($M326,Data_Validation!$A:$D,4,0)</f>
        <v>#N/A</v>
      </c>
      <c r="X326" s="153" t="e">
        <f>+VLOOKUP($M326,Data_Validation!$A:$E,5,0)</f>
        <v>#N/A</v>
      </c>
      <c r="Y326" s="153" t="e">
        <f>+VLOOKUP($M326,Data_Validation!$A:$F,6,0)</f>
        <v>#N/A</v>
      </c>
    </row>
    <row r="327" spans="2:25" ht="15.75" customHeight="1">
      <c r="B327" s="1398"/>
      <c r="C327" s="1401"/>
      <c r="D327" s="1400"/>
      <c r="E327" s="1400"/>
      <c r="F327" s="1400"/>
      <c r="G327" s="1398"/>
      <c r="H327" s="1398"/>
      <c r="I327" s="948"/>
      <c r="J327" s="951"/>
      <c r="K327" s="951"/>
      <c r="L327" s="951"/>
      <c r="M327" s="150">
        <f t="shared" si="25"/>
        <v>0</v>
      </c>
      <c r="N327" s="151">
        <f t="shared" si="26"/>
        <v>0</v>
      </c>
      <c r="O327" s="152">
        <f>+IF(OR($R327=Parametres!$G$2,$R327=Parametres!$G$3),J327,D327)</f>
        <v>0</v>
      </c>
      <c r="P327" s="1085">
        <f>+IF(OR($R327=Parametres!$G$2,$R327=Parametres!$G$3),K327,E327)</f>
        <v>0</v>
      </c>
      <c r="Q327" s="152">
        <f>+IF(OR($R327=Parametres!$G$2,$R327=Parametres!$G$3),L327,F327)</f>
        <v>0</v>
      </c>
      <c r="R327" s="151">
        <f t="shared" si="27"/>
        <v>0</v>
      </c>
      <c r="S327" s="150">
        <f t="shared" si="28"/>
        <v>0</v>
      </c>
      <c r="T327" s="151">
        <f t="shared" si="29"/>
        <v>0</v>
      </c>
      <c r="U327" s="153" t="e">
        <f>+VLOOKUP($M327,Data_Validation!$A:$D,1,0)</f>
        <v>#N/A</v>
      </c>
      <c r="V327" s="153" t="e">
        <f>+VLOOKUP($M327,Data_Validation!$A:$D,3,0)</f>
        <v>#N/A</v>
      </c>
      <c r="W327" s="153" t="e">
        <f>+VLOOKUP($M327,Data_Validation!$A:$D,4,0)</f>
        <v>#N/A</v>
      </c>
      <c r="X327" s="153" t="e">
        <f>+VLOOKUP($M327,Data_Validation!$A:$E,5,0)</f>
        <v>#N/A</v>
      </c>
      <c r="Y327" s="153" t="e">
        <f>+VLOOKUP($M327,Data_Validation!$A:$F,6,0)</f>
        <v>#N/A</v>
      </c>
    </row>
    <row r="328" spans="2:25" ht="15" customHeight="1">
      <c r="B328" s="1398"/>
      <c r="C328" s="1401"/>
      <c r="D328" s="1400"/>
      <c r="E328" s="1400"/>
      <c r="F328" s="1400"/>
      <c r="G328" s="1398"/>
      <c r="H328" s="1398"/>
      <c r="I328" s="948"/>
      <c r="J328" s="951"/>
      <c r="K328" s="951"/>
      <c r="L328" s="951"/>
      <c r="M328" s="150">
        <f t="shared" si="25"/>
        <v>0</v>
      </c>
      <c r="N328" s="151">
        <f t="shared" si="26"/>
        <v>0</v>
      </c>
      <c r="O328" s="152">
        <f>+IF(OR($R328=Parametres!$G$2,$R328=Parametres!$G$3),J328,D328)</f>
        <v>0</v>
      </c>
      <c r="P328" s="1085">
        <f>+IF(OR($R328=Parametres!$G$2,$R328=Parametres!$G$3),K328,E328)</f>
        <v>0</v>
      </c>
      <c r="Q328" s="152">
        <f>+IF(OR($R328=Parametres!$G$2,$R328=Parametres!$G$3),L328,F328)</f>
        <v>0</v>
      </c>
      <c r="R328" s="151">
        <f t="shared" si="27"/>
        <v>0</v>
      </c>
      <c r="S328" s="150">
        <f t="shared" si="28"/>
        <v>0</v>
      </c>
      <c r="T328" s="151">
        <f t="shared" si="29"/>
        <v>0</v>
      </c>
      <c r="U328" s="153" t="e">
        <f>+VLOOKUP($M328,Data_Validation!$A:$D,1,0)</f>
        <v>#N/A</v>
      </c>
      <c r="V328" s="153" t="e">
        <f>+VLOOKUP($M328,Data_Validation!$A:$D,3,0)</f>
        <v>#N/A</v>
      </c>
      <c r="W328" s="153" t="e">
        <f>+VLOOKUP($M328,Data_Validation!$A:$D,4,0)</f>
        <v>#N/A</v>
      </c>
      <c r="X328" s="153" t="e">
        <f>+VLOOKUP($M328,Data_Validation!$A:$E,5,0)</f>
        <v>#N/A</v>
      </c>
      <c r="Y328" s="153" t="e">
        <f>+VLOOKUP($M328,Data_Validation!$A:$F,6,0)</f>
        <v>#N/A</v>
      </c>
    </row>
    <row r="329" spans="2:25" ht="15" customHeight="1">
      <c r="B329" s="1398"/>
      <c r="C329" s="1401"/>
      <c r="D329" s="1400"/>
      <c r="E329" s="1400"/>
      <c r="F329" s="1400"/>
      <c r="G329" s="1398"/>
      <c r="H329" s="1398"/>
      <c r="I329" s="989"/>
      <c r="J329" s="989"/>
      <c r="K329" s="989"/>
      <c r="L329" s="989"/>
      <c r="M329" s="150">
        <f t="shared" ref="M329:M392" si="30">+C329</f>
        <v>0</v>
      </c>
      <c r="N329" s="151">
        <f t="shared" ref="N329:N392" si="31">+B329</f>
        <v>0</v>
      </c>
      <c r="O329" s="152">
        <f>+IF(OR($R329=Parametres!$G$2,$R329=Parametres!$G$3),J329,D329)</f>
        <v>0</v>
      </c>
      <c r="P329" s="1085">
        <f>+IF(OR($R329=Parametres!$G$2,$R329=Parametres!$G$3),K329,E329)</f>
        <v>0</v>
      </c>
      <c r="Q329" s="152">
        <f>+IF(OR($R329=Parametres!$G$2,$R329=Parametres!$G$3),L329,F329)</f>
        <v>0</v>
      </c>
      <c r="R329" s="151">
        <f t="shared" ref="R329:R392" si="32">+G329</f>
        <v>0</v>
      </c>
      <c r="S329" s="150">
        <f t="shared" ref="S329:S392" si="33">+H329</f>
        <v>0</v>
      </c>
      <c r="T329" s="151">
        <f t="shared" ref="T329:T392" si="34">+I329</f>
        <v>0</v>
      </c>
      <c r="U329" s="153" t="e">
        <f>+VLOOKUP($M329,Data_Validation!$A:$D,1,0)</f>
        <v>#N/A</v>
      </c>
      <c r="V329" s="153" t="e">
        <f>+VLOOKUP($M329,Data_Validation!$A:$D,3,0)</f>
        <v>#N/A</v>
      </c>
      <c r="W329" s="153" t="e">
        <f>+VLOOKUP($M329,Data_Validation!$A:$D,4,0)</f>
        <v>#N/A</v>
      </c>
      <c r="X329" s="153" t="e">
        <f>+VLOOKUP($M329,Data_Validation!$A:$E,5,0)</f>
        <v>#N/A</v>
      </c>
      <c r="Y329" s="153" t="e">
        <f>+VLOOKUP($M329,Data_Validation!$A:$F,6,0)</f>
        <v>#N/A</v>
      </c>
    </row>
    <row r="330" spans="2:25" ht="15" customHeight="1">
      <c r="B330" s="1398"/>
      <c r="C330" s="1401"/>
      <c r="D330" s="1400"/>
      <c r="E330" s="1400"/>
      <c r="F330" s="1400"/>
      <c r="G330" s="1398"/>
      <c r="H330" s="1398"/>
      <c r="I330" s="948"/>
      <c r="J330" s="949"/>
      <c r="K330" s="949"/>
      <c r="L330" s="949"/>
      <c r="M330" s="150">
        <f t="shared" si="30"/>
        <v>0</v>
      </c>
      <c r="N330" s="151">
        <f t="shared" si="31"/>
        <v>0</v>
      </c>
      <c r="O330" s="152">
        <f>+IF(OR($R330=Parametres!$G$2,$R330=Parametres!$G$3),J330,D330)</f>
        <v>0</v>
      </c>
      <c r="P330" s="1085">
        <f>+IF(OR($R330=Parametres!$G$2,$R330=Parametres!$G$3),K330,E330)</f>
        <v>0</v>
      </c>
      <c r="Q330" s="152">
        <f>+IF(OR($R330=Parametres!$G$2,$R330=Parametres!$G$3),L330,F330)</f>
        <v>0</v>
      </c>
      <c r="R330" s="151">
        <f t="shared" si="32"/>
        <v>0</v>
      </c>
      <c r="S330" s="150">
        <f t="shared" si="33"/>
        <v>0</v>
      </c>
      <c r="T330" s="151">
        <f t="shared" si="34"/>
        <v>0</v>
      </c>
      <c r="U330" s="153" t="e">
        <f>+VLOOKUP($M330,Data_Validation!$A:$D,1,0)</f>
        <v>#N/A</v>
      </c>
      <c r="V330" s="153" t="e">
        <f>+VLOOKUP($M330,Data_Validation!$A:$D,3,0)</f>
        <v>#N/A</v>
      </c>
      <c r="W330" s="153" t="e">
        <f>+VLOOKUP($M330,Data_Validation!$A:$D,4,0)</f>
        <v>#N/A</v>
      </c>
      <c r="X330" s="153" t="e">
        <f>+VLOOKUP($M330,Data_Validation!$A:$E,5,0)</f>
        <v>#N/A</v>
      </c>
      <c r="Y330" s="153" t="e">
        <f>+VLOOKUP($M330,Data_Validation!$A:$F,6,0)</f>
        <v>#N/A</v>
      </c>
    </row>
    <row r="331" spans="2:25" ht="15" customHeight="1">
      <c r="B331" s="1398"/>
      <c r="C331" s="1401"/>
      <c r="D331" s="1400"/>
      <c r="E331" s="1400"/>
      <c r="F331" s="1400"/>
      <c r="G331" s="1398"/>
      <c r="H331" s="1398"/>
      <c r="I331" s="948"/>
      <c r="J331" s="949"/>
      <c r="K331" s="949"/>
      <c r="L331" s="949"/>
      <c r="M331" s="150">
        <f t="shared" si="30"/>
        <v>0</v>
      </c>
      <c r="N331" s="151">
        <f t="shared" si="31"/>
        <v>0</v>
      </c>
      <c r="O331" s="152">
        <f>+IF(OR($R331=Parametres!$G$2,$R331=Parametres!$G$3),J331,D331)</f>
        <v>0</v>
      </c>
      <c r="P331" s="1085">
        <f>+IF(OR($R331=Parametres!$G$2,$R331=Parametres!$G$3),K331,E331)</f>
        <v>0</v>
      </c>
      <c r="Q331" s="152">
        <f>+IF(OR($R331=Parametres!$G$2,$R331=Parametres!$G$3),L331,F331)</f>
        <v>0</v>
      </c>
      <c r="R331" s="151">
        <f t="shared" si="32"/>
        <v>0</v>
      </c>
      <c r="S331" s="150">
        <f t="shared" si="33"/>
        <v>0</v>
      </c>
      <c r="T331" s="151">
        <f t="shared" si="34"/>
        <v>0</v>
      </c>
      <c r="U331" s="153" t="e">
        <f>+VLOOKUP($M331,Data_Validation!$A:$D,1,0)</f>
        <v>#N/A</v>
      </c>
      <c r="V331" s="153" t="e">
        <f>+VLOOKUP($M331,Data_Validation!$A:$D,3,0)</f>
        <v>#N/A</v>
      </c>
      <c r="W331" s="153" t="e">
        <f>+VLOOKUP($M331,Data_Validation!$A:$D,4,0)</f>
        <v>#N/A</v>
      </c>
      <c r="X331" s="153" t="e">
        <f>+VLOOKUP($M331,Data_Validation!$A:$E,5,0)</f>
        <v>#N/A</v>
      </c>
      <c r="Y331" s="153" t="e">
        <f>+VLOOKUP($M331,Data_Validation!$A:$F,6,0)</f>
        <v>#N/A</v>
      </c>
    </row>
    <row r="332" spans="2:25" ht="15" customHeight="1">
      <c r="B332" s="1398"/>
      <c r="C332" s="1401"/>
      <c r="D332" s="1400"/>
      <c r="E332" s="1400"/>
      <c r="F332" s="1400"/>
      <c r="G332" s="1398"/>
      <c r="H332" s="1398"/>
      <c r="I332" s="948"/>
      <c r="J332" s="949"/>
      <c r="K332" s="949"/>
      <c r="L332" s="949"/>
      <c r="M332" s="150">
        <f t="shared" si="30"/>
        <v>0</v>
      </c>
      <c r="N332" s="151">
        <f t="shared" si="31"/>
        <v>0</v>
      </c>
      <c r="O332" s="152">
        <f>+IF(OR($R332=Parametres!$G$2,$R332=Parametres!$G$3),J332,D332)</f>
        <v>0</v>
      </c>
      <c r="P332" s="1085">
        <f>+IF(OR($R332=Parametres!$G$2,$R332=Parametres!$G$3),K332,E332)</f>
        <v>0</v>
      </c>
      <c r="Q332" s="152">
        <f>+IF(OR($R332=Parametres!$G$2,$R332=Parametres!$G$3),L332,F332)</f>
        <v>0</v>
      </c>
      <c r="R332" s="151">
        <f t="shared" si="32"/>
        <v>0</v>
      </c>
      <c r="S332" s="150">
        <f t="shared" si="33"/>
        <v>0</v>
      </c>
      <c r="T332" s="151">
        <f t="shared" si="34"/>
        <v>0</v>
      </c>
      <c r="U332" s="153" t="e">
        <f>+VLOOKUP($M332,Data_Validation!$A:$D,1,0)</f>
        <v>#N/A</v>
      </c>
      <c r="V332" s="153" t="e">
        <f>+VLOOKUP($M332,Data_Validation!$A:$D,3,0)</f>
        <v>#N/A</v>
      </c>
      <c r="W332" s="153" t="e">
        <f>+VLOOKUP($M332,Data_Validation!$A:$D,4,0)</f>
        <v>#N/A</v>
      </c>
      <c r="X332" s="153" t="e">
        <f>+VLOOKUP($M332,Data_Validation!$A:$E,5,0)</f>
        <v>#N/A</v>
      </c>
      <c r="Y332" s="153" t="e">
        <f>+VLOOKUP($M332,Data_Validation!$A:$F,6,0)</f>
        <v>#N/A</v>
      </c>
    </row>
    <row r="333" spans="2:25" ht="15.75" customHeight="1">
      <c r="B333" s="1398"/>
      <c r="C333" s="1401"/>
      <c r="D333" s="1400"/>
      <c r="E333" s="1400"/>
      <c r="F333" s="1400"/>
      <c r="G333" s="1398"/>
      <c r="H333" s="1398"/>
      <c r="I333" s="948"/>
      <c r="J333" s="951"/>
      <c r="K333" s="951"/>
      <c r="L333" s="951"/>
      <c r="M333" s="150">
        <f t="shared" si="30"/>
        <v>0</v>
      </c>
      <c r="N333" s="151">
        <f t="shared" si="31"/>
        <v>0</v>
      </c>
      <c r="O333" s="152">
        <f>+IF(OR($R333=Parametres!$G$2,$R333=Parametres!$G$3),J333,D333)</f>
        <v>0</v>
      </c>
      <c r="P333" s="1085">
        <f>+IF(OR($R333=Parametres!$G$2,$R333=Parametres!$G$3),K333,E333)</f>
        <v>0</v>
      </c>
      <c r="Q333" s="152">
        <f>+IF(OR($R333=Parametres!$G$2,$R333=Parametres!$G$3),L333,F333)</f>
        <v>0</v>
      </c>
      <c r="R333" s="151">
        <f t="shared" si="32"/>
        <v>0</v>
      </c>
      <c r="S333" s="150">
        <f t="shared" si="33"/>
        <v>0</v>
      </c>
      <c r="T333" s="151">
        <f t="shared" si="34"/>
        <v>0</v>
      </c>
      <c r="U333" s="153" t="e">
        <f>+VLOOKUP($M333,Data_Validation!$A:$D,1,0)</f>
        <v>#N/A</v>
      </c>
      <c r="V333" s="153" t="e">
        <f>+VLOOKUP($M333,Data_Validation!$A:$D,3,0)</f>
        <v>#N/A</v>
      </c>
      <c r="W333" s="153" t="e">
        <f>+VLOOKUP($M333,Data_Validation!$A:$D,4,0)</f>
        <v>#N/A</v>
      </c>
      <c r="X333" s="153" t="e">
        <f>+VLOOKUP($M333,Data_Validation!$A:$E,5,0)</f>
        <v>#N/A</v>
      </c>
      <c r="Y333" s="153" t="e">
        <f>+VLOOKUP($M333,Data_Validation!$A:$F,6,0)</f>
        <v>#N/A</v>
      </c>
    </row>
    <row r="334" spans="2:25" ht="15.75" customHeight="1">
      <c r="B334" s="1398"/>
      <c r="C334" s="1401"/>
      <c r="D334" s="1400"/>
      <c r="E334" s="1400"/>
      <c r="F334" s="1400"/>
      <c r="G334" s="1398"/>
      <c r="H334" s="1398"/>
      <c r="I334" s="948"/>
      <c r="J334" s="949"/>
      <c r="K334" s="949"/>
      <c r="L334" s="949"/>
      <c r="M334" s="150">
        <f t="shared" si="30"/>
        <v>0</v>
      </c>
      <c r="N334" s="151">
        <f t="shared" si="31"/>
        <v>0</v>
      </c>
      <c r="O334" s="152">
        <f>+IF(OR($R334=Parametres!$G$2,$R334=Parametres!$G$3),J334,D334)</f>
        <v>0</v>
      </c>
      <c r="P334" s="1085">
        <f>+IF(OR($R334=Parametres!$G$2,$R334=Parametres!$G$3),K334,E334)</f>
        <v>0</v>
      </c>
      <c r="Q334" s="152">
        <f>+IF(OR($R334=Parametres!$G$2,$R334=Parametres!$G$3),L334,F334)</f>
        <v>0</v>
      </c>
      <c r="R334" s="151">
        <f t="shared" si="32"/>
        <v>0</v>
      </c>
      <c r="S334" s="150">
        <f t="shared" si="33"/>
        <v>0</v>
      </c>
      <c r="T334" s="151">
        <f t="shared" si="34"/>
        <v>0</v>
      </c>
      <c r="U334" s="153" t="e">
        <f>+VLOOKUP($M334,Data_Validation!$A:$D,1,0)</f>
        <v>#N/A</v>
      </c>
      <c r="V334" s="153" t="e">
        <f>+VLOOKUP($M334,Data_Validation!$A:$D,3,0)</f>
        <v>#N/A</v>
      </c>
      <c r="W334" s="153" t="e">
        <f>+VLOOKUP($M334,Data_Validation!$A:$D,4,0)</f>
        <v>#N/A</v>
      </c>
      <c r="X334" s="153" t="e">
        <f>+VLOOKUP($M334,Data_Validation!$A:$E,5,0)</f>
        <v>#N/A</v>
      </c>
      <c r="Y334" s="153" t="e">
        <f>+VLOOKUP($M334,Data_Validation!$A:$F,6,0)</f>
        <v>#N/A</v>
      </c>
    </row>
    <row r="335" spans="2:25" ht="15" customHeight="1">
      <c r="B335" s="1398"/>
      <c r="C335" s="1401"/>
      <c r="D335" s="1400"/>
      <c r="E335" s="1400"/>
      <c r="F335" s="1400"/>
      <c r="G335" s="1398"/>
      <c r="H335" s="1398"/>
      <c r="I335" s="948"/>
      <c r="J335" s="951"/>
      <c r="K335" s="951"/>
      <c r="L335" s="951"/>
      <c r="M335" s="150">
        <f t="shared" si="30"/>
        <v>0</v>
      </c>
      <c r="N335" s="151">
        <f t="shared" si="31"/>
        <v>0</v>
      </c>
      <c r="O335" s="152">
        <f>+IF(OR($R335=Parametres!$G$2,$R335=Parametres!$G$3),J335,D335)</f>
        <v>0</v>
      </c>
      <c r="P335" s="1085">
        <f>+IF(OR($R335=Parametres!$G$2,$R335=Parametres!$G$3),K335,E335)</f>
        <v>0</v>
      </c>
      <c r="Q335" s="152">
        <f>+IF(OR($R335=Parametres!$G$2,$R335=Parametres!$G$3),L335,F335)</f>
        <v>0</v>
      </c>
      <c r="R335" s="151">
        <f t="shared" si="32"/>
        <v>0</v>
      </c>
      <c r="S335" s="150">
        <f t="shared" si="33"/>
        <v>0</v>
      </c>
      <c r="T335" s="151">
        <f t="shared" si="34"/>
        <v>0</v>
      </c>
      <c r="U335" s="153" t="e">
        <f>+VLOOKUP($M335,Data_Validation!$A:$D,1,0)</f>
        <v>#N/A</v>
      </c>
      <c r="V335" s="153" t="e">
        <f>+VLOOKUP($M335,Data_Validation!$A:$D,3,0)</f>
        <v>#N/A</v>
      </c>
      <c r="W335" s="153" t="e">
        <f>+VLOOKUP($M335,Data_Validation!$A:$D,4,0)</f>
        <v>#N/A</v>
      </c>
      <c r="X335" s="153" t="e">
        <f>+VLOOKUP($M335,Data_Validation!$A:$E,5,0)</f>
        <v>#N/A</v>
      </c>
      <c r="Y335" s="153" t="e">
        <f>+VLOOKUP($M335,Data_Validation!$A:$F,6,0)</f>
        <v>#N/A</v>
      </c>
    </row>
    <row r="336" spans="2:25" ht="15" customHeight="1">
      <c r="B336" s="1398"/>
      <c r="C336" s="1401"/>
      <c r="D336" s="1400"/>
      <c r="E336" s="1400"/>
      <c r="F336" s="1400"/>
      <c r="G336" s="1398"/>
      <c r="H336" s="1398"/>
      <c r="I336" s="948"/>
      <c r="J336" s="951"/>
      <c r="K336" s="951"/>
      <c r="L336" s="951"/>
      <c r="M336" s="150">
        <f t="shared" si="30"/>
        <v>0</v>
      </c>
      <c r="N336" s="151">
        <f t="shared" si="31"/>
        <v>0</v>
      </c>
      <c r="O336" s="152">
        <f>+IF(OR($R336=Parametres!$G$2,$R336=Parametres!$G$3),J336,D336)</f>
        <v>0</v>
      </c>
      <c r="P336" s="1085">
        <f>+IF(OR($R336=Parametres!$G$2,$R336=Parametres!$G$3),K336,E336)</f>
        <v>0</v>
      </c>
      <c r="Q336" s="152">
        <f>+IF(OR($R336=Parametres!$G$2,$R336=Parametres!$G$3),L336,F336)</f>
        <v>0</v>
      </c>
      <c r="R336" s="151">
        <f t="shared" si="32"/>
        <v>0</v>
      </c>
      <c r="S336" s="150">
        <f t="shared" si="33"/>
        <v>0</v>
      </c>
      <c r="T336" s="151">
        <f t="shared" si="34"/>
        <v>0</v>
      </c>
      <c r="U336" s="153" t="e">
        <f>+VLOOKUP($M336,Data_Validation!$A:$D,1,0)</f>
        <v>#N/A</v>
      </c>
      <c r="V336" s="153" t="e">
        <f>+VLOOKUP($M336,Data_Validation!$A:$D,3,0)</f>
        <v>#N/A</v>
      </c>
      <c r="W336" s="153" t="e">
        <f>+VLOOKUP($M336,Data_Validation!$A:$D,4,0)</f>
        <v>#N/A</v>
      </c>
      <c r="X336" s="153" t="e">
        <f>+VLOOKUP($M336,Data_Validation!$A:$E,5,0)</f>
        <v>#N/A</v>
      </c>
      <c r="Y336" s="153" t="e">
        <f>+VLOOKUP($M336,Data_Validation!$A:$F,6,0)</f>
        <v>#N/A</v>
      </c>
    </row>
    <row r="337" spans="2:25" ht="15" customHeight="1">
      <c r="B337" s="1398"/>
      <c r="C337" s="1401"/>
      <c r="D337" s="1400"/>
      <c r="E337" s="1400"/>
      <c r="F337" s="1400"/>
      <c r="G337" s="1398"/>
      <c r="H337" s="1398"/>
      <c r="I337" s="948"/>
      <c r="J337" s="949"/>
      <c r="K337" s="949"/>
      <c r="L337" s="949"/>
      <c r="M337" s="150">
        <f t="shared" si="30"/>
        <v>0</v>
      </c>
      <c r="N337" s="151">
        <f t="shared" si="31"/>
        <v>0</v>
      </c>
      <c r="O337" s="152">
        <f>+IF(OR($R337=Parametres!$G$2,$R337=Parametres!$G$3),J337,D337)</f>
        <v>0</v>
      </c>
      <c r="P337" s="1085">
        <f>+IF(OR($R337=Parametres!$G$2,$R337=Parametres!$G$3),K337,E337)</f>
        <v>0</v>
      </c>
      <c r="Q337" s="152">
        <f>+IF(OR($R337=Parametres!$G$2,$R337=Parametres!$G$3),L337,F337)</f>
        <v>0</v>
      </c>
      <c r="R337" s="151">
        <f t="shared" si="32"/>
        <v>0</v>
      </c>
      <c r="S337" s="150">
        <f t="shared" si="33"/>
        <v>0</v>
      </c>
      <c r="T337" s="151">
        <f t="shared" si="34"/>
        <v>0</v>
      </c>
      <c r="U337" s="153" t="e">
        <f>+VLOOKUP($M337,Data_Validation!$A:$D,1,0)</f>
        <v>#N/A</v>
      </c>
      <c r="V337" s="153" t="e">
        <f>+VLOOKUP($M337,Data_Validation!$A:$D,3,0)</f>
        <v>#N/A</v>
      </c>
      <c r="W337" s="153" t="e">
        <f>+VLOOKUP($M337,Data_Validation!$A:$D,4,0)</f>
        <v>#N/A</v>
      </c>
      <c r="X337" s="153" t="e">
        <f>+VLOOKUP($M337,Data_Validation!$A:$E,5,0)</f>
        <v>#N/A</v>
      </c>
      <c r="Y337" s="153" t="e">
        <f>+VLOOKUP($M337,Data_Validation!$A:$F,6,0)</f>
        <v>#N/A</v>
      </c>
    </row>
    <row r="338" spans="2:25" ht="15.75" customHeight="1">
      <c r="B338" s="1398"/>
      <c r="C338" s="1401"/>
      <c r="D338" s="1400"/>
      <c r="E338" s="1400"/>
      <c r="F338" s="1400"/>
      <c r="G338" s="1398"/>
      <c r="H338" s="1398"/>
      <c r="I338" s="1198"/>
      <c r="J338" s="1198"/>
      <c r="K338" s="1198"/>
      <c r="L338" s="1198"/>
      <c r="M338" s="150">
        <f t="shared" si="30"/>
        <v>0</v>
      </c>
      <c r="N338" s="151">
        <f t="shared" si="31"/>
        <v>0</v>
      </c>
      <c r="O338" s="152">
        <f>+IF(OR($R338=Parametres!$G$2,$R338=Parametres!$G$3),J338,D338)</f>
        <v>0</v>
      </c>
      <c r="P338" s="1083">
        <f>+IF(OR($R338=Parametres!$G$2,$R338=Parametres!$G$3),K338,E338)</f>
        <v>0</v>
      </c>
      <c r="Q338" s="152">
        <f>+IF(OR($R338=Parametres!$G$2,$R338=Parametres!$G$3),L338,F338)</f>
        <v>0</v>
      </c>
      <c r="R338" s="151">
        <f t="shared" si="32"/>
        <v>0</v>
      </c>
      <c r="S338" s="150">
        <f t="shared" si="33"/>
        <v>0</v>
      </c>
      <c r="T338" s="151">
        <f t="shared" si="34"/>
        <v>0</v>
      </c>
      <c r="U338" s="153" t="e">
        <f>+VLOOKUP($M338,Data_Validation!$A:$D,1,0)</f>
        <v>#N/A</v>
      </c>
      <c r="V338" s="153" t="e">
        <f>+VLOOKUP($M338,Data_Validation!$A:$D,3,0)</f>
        <v>#N/A</v>
      </c>
      <c r="W338" s="153" t="e">
        <f>+VLOOKUP($M338,Data_Validation!$A:$D,4,0)</f>
        <v>#N/A</v>
      </c>
      <c r="X338" s="153" t="e">
        <f>+VLOOKUP($M338,Data_Validation!$A:$E,5,0)</f>
        <v>#N/A</v>
      </c>
      <c r="Y338" s="153" t="e">
        <f>+VLOOKUP($M338,Data_Validation!$A:$F,6,0)</f>
        <v>#N/A</v>
      </c>
    </row>
    <row r="339" spans="2:25" ht="15" customHeight="1">
      <c r="B339" s="1398"/>
      <c r="C339" s="1401"/>
      <c r="D339" s="1400"/>
      <c r="E339" s="1400"/>
      <c r="F339" s="1400"/>
      <c r="G339" s="1398"/>
      <c r="H339" s="1398"/>
      <c r="I339" s="1198"/>
      <c r="J339" s="1199"/>
      <c r="K339" s="1199"/>
      <c r="L339" s="1199"/>
      <c r="M339" s="150">
        <f t="shared" si="30"/>
        <v>0</v>
      </c>
      <c r="N339" s="151">
        <f t="shared" si="31"/>
        <v>0</v>
      </c>
      <c r="O339" s="152">
        <f>+IF(OR($R339=Parametres!$G$2,$R339=Parametres!$G$3),J339,D339)</f>
        <v>0</v>
      </c>
      <c r="P339" s="1085">
        <f>+IF(OR($R339=Parametres!$G$2,$R339=Parametres!$G$3),K339,E339)</f>
        <v>0</v>
      </c>
      <c r="Q339" s="152">
        <f>+IF(OR($R339=Parametres!$G$2,$R339=Parametres!$G$3),L339,F339)</f>
        <v>0</v>
      </c>
      <c r="R339" s="151">
        <f t="shared" si="32"/>
        <v>0</v>
      </c>
      <c r="S339" s="150">
        <f t="shared" si="33"/>
        <v>0</v>
      </c>
      <c r="T339" s="151">
        <f t="shared" si="34"/>
        <v>0</v>
      </c>
      <c r="U339" s="153" t="e">
        <f>+VLOOKUP($M339,Data_Validation!$A:$D,1,0)</f>
        <v>#N/A</v>
      </c>
      <c r="V339" s="153" t="e">
        <f>+VLOOKUP($M339,Data_Validation!$A:$D,3,0)</f>
        <v>#N/A</v>
      </c>
      <c r="W339" s="153" t="e">
        <f>+VLOOKUP($M339,Data_Validation!$A:$D,4,0)</f>
        <v>#N/A</v>
      </c>
      <c r="X339" s="153" t="e">
        <f>+VLOOKUP($M339,Data_Validation!$A:$E,5,0)</f>
        <v>#N/A</v>
      </c>
      <c r="Y339" s="153" t="e">
        <f>+VLOOKUP($M339,Data_Validation!$A:$F,6,0)</f>
        <v>#N/A</v>
      </c>
    </row>
    <row r="340" spans="2:25" ht="15" customHeight="1">
      <c r="B340" s="1398"/>
      <c r="C340" s="1401"/>
      <c r="D340" s="1400"/>
      <c r="E340" s="1400"/>
      <c r="F340" s="1400"/>
      <c r="G340" s="1398"/>
      <c r="H340" s="1398"/>
      <c r="I340" s="1198"/>
      <c r="J340" s="1198"/>
      <c r="K340" s="1198"/>
      <c r="L340" s="1198"/>
      <c r="M340" s="150">
        <f t="shared" si="30"/>
        <v>0</v>
      </c>
      <c r="N340" s="151">
        <f t="shared" si="31"/>
        <v>0</v>
      </c>
      <c r="O340" s="152">
        <f>+IF(OR($R340=Parametres!$G$2,$R340=Parametres!$G$3),J340,D340)</f>
        <v>0</v>
      </c>
      <c r="P340" s="1083">
        <f>+IF(OR($R340=Parametres!$G$2,$R340=Parametres!$G$3),K340,E340)</f>
        <v>0</v>
      </c>
      <c r="Q340" s="152">
        <f>+IF(OR($R340=Parametres!$G$2,$R340=Parametres!$G$3),L340,F340)</f>
        <v>0</v>
      </c>
      <c r="R340" s="151">
        <f t="shared" si="32"/>
        <v>0</v>
      </c>
      <c r="S340" s="150">
        <f t="shared" si="33"/>
        <v>0</v>
      </c>
      <c r="T340" s="151">
        <f t="shared" si="34"/>
        <v>0</v>
      </c>
      <c r="U340" s="153" t="e">
        <f>+VLOOKUP($M340,Data_Validation!$A:$D,1,0)</f>
        <v>#N/A</v>
      </c>
      <c r="V340" s="153" t="e">
        <f>+VLOOKUP($M340,Data_Validation!$A:$D,3,0)</f>
        <v>#N/A</v>
      </c>
      <c r="W340" s="153" t="e">
        <f>+VLOOKUP($M340,Data_Validation!$A:$D,4,0)</f>
        <v>#N/A</v>
      </c>
      <c r="X340" s="153" t="e">
        <f>+VLOOKUP($M340,Data_Validation!$A:$E,5,0)</f>
        <v>#N/A</v>
      </c>
      <c r="Y340" s="153" t="e">
        <f>+VLOOKUP($M340,Data_Validation!$A:$F,6,0)</f>
        <v>#N/A</v>
      </c>
    </row>
    <row r="341" spans="2:25" ht="15" customHeight="1">
      <c r="B341" s="1398"/>
      <c r="C341" s="1401"/>
      <c r="D341" s="1400"/>
      <c r="E341" s="1400"/>
      <c r="F341" s="1400"/>
      <c r="G341" s="1398"/>
      <c r="H341" s="1398"/>
      <c r="I341" s="1198"/>
      <c r="J341" s="1198"/>
      <c r="K341" s="1198"/>
      <c r="L341" s="1198"/>
      <c r="M341" s="150">
        <f t="shared" si="30"/>
        <v>0</v>
      </c>
      <c r="N341" s="151">
        <f t="shared" si="31"/>
        <v>0</v>
      </c>
      <c r="O341" s="152">
        <f>+IF(OR($R341=Parametres!$G$2,$R341=Parametres!$G$3),J341,D341)</f>
        <v>0</v>
      </c>
      <c r="P341" s="1086">
        <f>+IF(OR($R341=Parametres!$G$2,$R341=Parametres!$G$3),K341,E341)</f>
        <v>0</v>
      </c>
      <c r="Q341" s="152">
        <f>+IF(OR($R341=Parametres!$G$2,$R341=Parametres!$G$3),L341,F341)</f>
        <v>0</v>
      </c>
      <c r="R341" s="151">
        <f t="shared" si="32"/>
        <v>0</v>
      </c>
      <c r="S341" s="150">
        <f t="shared" si="33"/>
        <v>0</v>
      </c>
      <c r="T341" s="151">
        <f t="shared" si="34"/>
        <v>0</v>
      </c>
      <c r="U341" s="153" t="e">
        <f>+VLOOKUP($M341,Data_Validation!$A:$D,1,0)</f>
        <v>#N/A</v>
      </c>
      <c r="V341" s="153" t="e">
        <f>+VLOOKUP($M341,Data_Validation!$A:$D,3,0)</f>
        <v>#N/A</v>
      </c>
      <c r="W341" s="153" t="e">
        <f>+VLOOKUP($M341,Data_Validation!$A:$D,4,0)</f>
        <v>#N/A</v>
      </c>
      <c r="X341" s="153" t="e">
        <f>+VLOOKUP($M341,Data_Validation!$A:$E,5,0)</f>
        <v>#N/A</v>
      </c>
      <c r="Y341" s="153" t="e">
        <f>+VLOOKUP($M341,Data_Validation!$A:$F,6,0)</f>
        <v>#N/A</v>
      </c>
    </row>
    <row r="342" spans="2:25" ht="15" customHeight="1">
      <c r="B342" s="1398"/>
      <c r="C342" s="1401"/>
      <c r="D342" s="1400"/>
      <c r="E342" s="1400"/>
      <c r="F342" s="1400"/>
      <c r="G342" s="1398"/>
      <c r="H342" s="1398"/>
      <c r="I342" s="1198"/>
      <c r="J342" s="1199"/>
      <c r="K342" s="1199"/>
      <c r="L342" s="1199"/>
      <c r="M342" s="150">
        <f t="shared" si="30"/>
        <v>0</v>
      </c>
      <c r="N342" s="151">
        <f t="shared" si="31"/>
        <v>0</v>
      </c>
      <c r="O342" s="152">
        <f>+IF(OR($R342=Parametres!$G$2,$R342=Parametres!$G$3),J342,D342)</f>
        <v>0</v>
      </c>
      <c r="P342" s="1085">
        <f>+IF(OR($R342=Parametres!$G$2,$R342=Parametres!$G$3),K342,E342)</f>
        <v>0</v>
      </c>
      <c r="Q342" s="152">
        <f>+IF(OR($R342=Parametres!$G$2,$R342=Parametres!$G$3),L342,F342)</f>
        <v>0</v>
      </c>
      <c r="R342" s="151">
        <f t="shared" si="32"/>
        <v>0</v>
      </c>
      <c r="S342" s="150">
        <f t="shared" si="33"/>
        <v>0</v>
      </c>
      <c r="T342" s="151">
        <f t="shared" si="34"/>
        <v>0</v>
      </c>
      <c r="U342" s="153" t="e">
        <f>+VLOOKUP($M342,Data_Validation!$A:$D,1,0)</f>
        <v>#N/A</v>
      </c>
      <c r="V342" s="153" t="e">
        <f>+VLOOKUP($M342,Data_Validation!$A:$D,3,0)</f>
        <v>#N/A</v>
      </c>
      <c r="W342" s="153" t="e">
        <f>+VLOOKUP($M342,Data_Validation!$A:$D,4,0)</f>
        <v>#N/A</v>
      </c>
      <c r="X342" s="153" t="e">
        <f>+VLOOKUP($M342,Data_Validation!$A:$E,5,0)</f>
        <v>#N/A</v>
      </c>
      <c r="Y342" s="153" t="e">
        <f>+VLOOKUP($M342,Data_Validation!$A:$F,6,0)</f>
        <v>#N/A</v>
      </c>
    </row>
    <row r="343" spans="2:25" ht="15.75" customHeight="1">
      <c r="B343" s="1398"/>
      <c r="C343" s="1401"/>
      <c r="D343" s="1400"/>
      <c r="E343" s="1400"/>
      <c r="F343" s="1400"/>
      <c r="G343" s="1398"/>
      <c r="H343" s="1398"/>
      <c r="I343" s="989"/>
      <c r="J343" s="989"/>
      <c r="K343" s="989"/>
      <c r="L343" s="989"/>
      <c r="M343" s="150">
        <f t="shared" si="30"/>
        <v>0</v>
      </c>
      <c r="N343" s="151">
        <f t="shared" si="31"/>
        <v>0</v>
      </c>
      <c r="O343" s="152">
        <f>+IF(OR($R343=Parametres!$G$2,$R343=Parametres!$G$3),J343,D343)</f>
        <v>0</v>
      </c>
      <c r="P343" s="1085">
        <f>+IF(OR($R343=Parametres!$G$2,$R343=Parametres!$G$3),K343,E343)</f>
        <v>0</v>
      </c>
      <c r="Q343" s="152">
        <f>+IF(OR($R343=Parametres!$G$2,$R343=Parametres!$G$3),L343,F343)</f>
        <v>0</v>
      </c>
      <c r="R343" s="151">
        <f t="shared" si="32"/>
        <v>0</v>
      </c>
      <c r="S343" s="150">
        <f t="shared" si="33"/>
        <v>0</v>
      </c>
      <c r="T343" s="151">
        <f t="shared" si="34"/>
        <v>0</v>
      </c>
      <c r="U343" s="153" t="e">
        <f>+VLOOKUP($M343,Data_Validation!$A:$D,1,0)</f>
        <v>#N/A</v>
      </c>
      <c r="V343" s="153" t="e">
        <f>+VLOOKUP($M343,Data_Validation!$A:$D,3,0)</f>
        <v>#N/A</v>
      </c>
      <c r="W343" s="153" t="e">
        <f>+VLOOKUP($M343,Data_Validation!$A:$D,4,0)</f>
        <v>#N/A</v>
      </c>
      <c r="X343" s="153" t="e">
        <f>+VLOOKUP($M343,Data_Validation!$A:$E,5,0)</f>
        <v>#N/A</v>
      </c>
      <c r="Y343" s="153" t="e">
        <f>+VLOOKUP($M343,Data_Validation!$A:$F,6,0)</f>
        <v>#N/A</v>
      </c>
    </row>
    <row r="344" spans="2:25" ht="15" customHeight="1">
      <c r="B344" s="1398"/>
      <c r="C344" s="1401"/>
      <c r="D344" s="1400"/>
      <c r="E344" s="1400"/>
      <c r="F344" s="1400"/>
      <c r="G344" s="1398"/>
      <c r="H344" s="1398"/>
      <c r="I344" s="1198"/>
      <c r="J344" s="1198"/>
      <c r="K344" s="1198"/>
      <c r="L344" s="1198"/>
      <c r="M344" s="150">
        <f t="shared" si="30"/>
        <v>0</v>
      </c>
      <c r="N344" s="151">
        <f t="shared" si="31"/>
        <v>0</v>
      </c>
      <c r="O344" s="152">
        <f>+IF(OR($R344=Parametres!$G$2,$R344=Parametres!$G$3),J344,D344)</f>
        <v>0</v>
      </c>
      <c r="P344" s="1083">
        <f>+IF(OR($R344=Parametres!$G$2,$R344=Parametres!$G$3),K344,E344)</f>
        <v>0</v>
      </c>
      <c r="Q344" s="152">
        <f>+IF(OR($R344=Parametres!$G$2,$R344=Parametres!$G$3),L344,F344)</f>
        <v>0</v>
      </c>
      <c r="R344" s="151">
        <f t="shared" si="32"/>
        <v>0</v>
      </c>
      <c r="S344" s="150">
        <f t="shared" si="33"/>
        <v>0</v>
      </c>
      <c r="T344" s="151">
        <f t="shared" si="34"/>
        <v>0</v>
      </c>
      <c r="U344" s="153" t="e">
        <f>+VLOOKUP($M344,Data_Validation!$A:$D,1,0)</f>
        <v>#N/A</v>
      </c>
      <c r="V344" s="153" t="e">
        <f>+VLOOKUP($M344,Data_Validation!$A:$D,3,0)</f>
        <v>#N/A</v>
      </c>
      <c r="W344" s="153" t="e">
        <f>+VLOOKUP($M344,Data_Validation!$A:$D,4,0)</f>
        <v>#N/A</v>
      </c>
      <c r="X344" s="153" t="e">
        <f>+VLOOKUP($M344,Data_Validation!$A:$E,5,0)</f>
        <v>#N/A</v>
      </c>
      <c r="Y344" s="153" t="e">
        <f>+VLOOKUP($M344,Data_Validation!$A:$F,6,0)</f>
        <v>#N/A</v>
      </c>
    </row>
    <row r="345" spans="2:25" ht="15" customHeight="1">
      <c r="B345" s="1398"/>
      <c r="C345" s="1401"/>
      <c r="D345" s="1400"/>
      <c r="E345" s="1400"/>
      <c r="F345" s="1400"/>
      <c r="G345" s="1398"/>
      <c r="H345" s="1398"/>
      <c r="I345" s="1198"/>
      <c r="J345" s="1198"/>
      <c r="K345" s="1198"/>
      <c r="L345" s="1198"/>
      <c r="M345" s="150">
        <f t="shared" si="30"/>
        <v>0</v>
      </c>
      <c r="N345" s="151">
        <f t="shared" si="31"/>
        <v>0</v>
      </c>
      <c r="O345" s="152">
        <f>+IF(OR($R345=Parametres!$G$2,$R345=Parametres!$G$3),J345,D345)</f>
        <v>0</v>
      </c>
      <c r="P345" s="1085">
        <f>+IF(OR($R345=Parametres!$G$2,$R345=Parametres!$G$3),K345,E345)</f>
        <v>0</v>
      </c>
      <c r="Q345" s="152">
        <f>+IF(OR($R345=Parametres!$G$2,$R345=Parametres!$G$3),L345,F345)</f>
        <v>0</v>
      </c>
      <c r="R345" s="151">
        <f t="shared" si="32"/>
        <v>0</v>
      </c>
      <c r="S345" s="150">
        <f t="shared" si="33"/>
        <v>0</v>
      </c>
      <c r="T345" s="151">
        <f t="shared" si="34"/>
        <v>0</v>
      </c>
      <c r="U345" s="153" t="e">
        <f>+VLOOKUP($M345,Data_Validation!$A:$D,1,0)</f>
        <v>#N/A</v>
      </c>
      <c r="V345" s="153" t="e">
        <f>+VLOOKUP($M345,Data_Validation!$A:$D,3,0)</f>
        <v>#N/A</v>
      </c>
      <c r="W345" s="153" t="e">
        <f>+VLOOKUP($M345,Data_Validation!$A:$D,4,0)</f>
        <v>#N/A</v>
      </c>
      <c r="X345" s="153" t="e">
        <f>+VLOOKUP($M345,Data_Validation!$A:$E,5,0)</f>
        <v>#N/A</v>
      </c>
      <c r="Y345" s="153" t="e">
        <f>+VLOOKUP($M345,Data_Validation!$A:$F,6,0)</f>
        <v>#N/A</v>
      </c>
    </row>
    <row r="346" spans="2:25" ht="15" customHeight="1">
      <c r="B346" s="1398"/>
      <c r="C346" s="1401"/>
      <c r="D346" s="1400"/>
      <c r="E346" s="1400"/>
      <c r="F346" s="1400"/>
      <c r="G346" s="1398"/>
      <c r="H346" s="1398"/>
      <c r="I346" s="1198"/>
      <c r="J346" s="1198"/>
      <c r="K346" s="1198"/>
      <c r="L346" s="1198"/>
      <c r="M346" s="150">
        <f t="shared" si="30"/>
        <v>0</v>
      </c>
      <c r="N346" s="151">
        <f t="shared" si="31"/>
        <v>0</v>
      </c>
      <c r="O346" s="152">
        <f>+IF(OR($R346=Parametres!$G$2,$R346=Parametres!$G$3),J346,D346)</f>
        <v>0</v>
      </c>
      <c r="P346" s="1085">
        <f>+IF(OR($R346=Parametres!$G$2,$R346=Parametres!$G$3),K346,E346)</f>
        <v>0</v>
      </c>
      <c r="Q346" s="152">
        <f>+IF(OR($R346=Parametres!$G$2,$R346=Parametres!$G$3),L346,F346)</f>
        <v>0</v>
      </c>
      <c r="R346" s="151">
        <f t="shared" si="32"/>
        <v>0</v>
      </c>
      <c r="S346" s="150">
        <f t="shared" si="33"/>
        <v>0</v>
      </c>
      <c r="T346" s="151">
        <f t="shared" si="34"/>
        <v>0</v>
      </c>
      <c r="U346" s="153" t="e">
        <f>+VLOOKUP($M346,Data_Validation!$A:$D,1,0)</f>
        <v>#N/A</v>
      </c>
      <c r="V346" s="153" t="e">
        <f>+VLOOKUP($M346,Data_Validation!$A:$D,3,0)</f>
        <v>#N/A</v>
      </c>
      <c r="W346" s="153" t="e">
        <f>+VLOOKUP($M346,Data_Validation!$A:$D,4,0)</f>
        <v>#N/A</v>
      </c>
      <c r="X346" s="153" t="e">
        <f>+VLOOKUP($M346,Data_Validation!$A:$E,5,0)</f>
        <v>#N/A</v>
      </c>
      <c r="Y346" s="153" t="e">
        <f>+VLOOKUP($M346,Data_Validation!$A:$F,6,0)</f>
        <v>#N/A</v>
      </c>
    </row>
    <row r="347" spans="2:25" ht="15.75" customHeight="1">
      <c r="B347" s="1398"/>
      <c r="C347" s="1401"/>
      <c r="D347" s="1400"/>
      <c r="E347" s="1400"/>
      <c r="F347" s="1400"/>
      <c r="G347" s="1398"/>
      <c r="H347" s="1398"/>
      <c r="I347" s="1198"/>
      <c r="J347" s="1198"/>
      <c r="K347" s="1198"/>
      <c r="L347" s="1198"/>
      <c r="M347" s="150">
        <f t="shared" si="30"/>
        <v>0</v>
      </c>
      <c r="N347" s="151">
        <f t="shared" si="31"/>
        <v>0</v>
      </c>
      <c r="O347" s="152">
        <f>+IF(OR($R347=Parametres!$G$2,$R347=Parametres!$G$3),J347,D347)</f>
        <v>0</v>
      </c>
      <c r="P347" s="1085">
        <f>+IF(OR($R347=Parametres!$G$2,$R347=Parametres!$G$3),K347,E347)</f>
        <v>0</v>
      </c>
      <c r="Q347" s="152">
        <f>+IF(OR($R347=Parametres!$G$2,$R347=Parametres!$G$3),L347,F347)</f>
        <v>0</v>
      </c>
      <c r="R347" s="151">
        <f t="shared" si="32"/>
        <v>0</v>
      </c>
      <c r="S347" s="150">
        <f t="shared" si="33"/>
        <v>0</v>
      </c>
      <c r="T347" s="151">
        <f t="shared" si="34"/>
        <v>0</v>
      </c>
      <c r="U347" s="153" t="e">
        <f>+VLOOKUP($M347,Data_Validation!$A:$D,1,0)</f>
        <v>#N/A</v>
      </c>
      <c r="V347" s="153" t="e">
        <f>+VLOOKUP($M347,Data_Validation!$A:$D,3,0)</f>
        <v>#N/A</v>
      </c>
      <c r="W347" s="153" t="e">
        <f>+VLOOKUP($M347,Data_Validation!$A:$D,4,0)</f>
        <v>#N/A</v>
      </c>
      <c r="X347" s="153" t="e">
        <f>+VLOOKUP($M347,Data_Validation!$A:$E,5,0)</f>
        <v>#N/A</v>
      </c>
      <c r="Y347" s="153" t="e">
        <f>+VLOOKUP($M347,Data_Validation!$A:$F,6,0)</f>
        <v>#N/A</v>
      </c>
    </row>
    <row r="348" spans="2:25" ht="15" customHeight="1">
      <c r="B348" s="1398"/>
      <c r="C348" s="1401"/>
      <c r="D348" s="1400"/>
      <c r="E348" s="1400"/>
      <c r="F348" s="1400"/>
      <c r="G348" s="1398"/>
      <c r="H348" s="1398"/>
      <c r="I348" s="1198"/>
      <c r="J348" s="1198"/>
      <c r="K348" s="1198"/>
      <c r="L348" s="1198"/>
      <c r="M348" s="150">
        <f t="shared" si="30"/>
        <v>0</v>
      </c>
      <c r="N348" s="151">
        <f t="shared" si="31"/>
        <v>0</v>
      </c>
      <c r="O348" s="152">
        <f>+IF(OR($R348=Parametres!$G$2,$R348=Parametres!$G$3),J348,D348)</f>
        <v>0</v>
      </c>
      <c r="P348" s="1083">
        <f>+IF(OR($R348=Parametres!$G$2,$R348=Parametres!$G$3),K348,E348)</f>
        <v>0</v>
      </c>
      <c r="Q348" s="152">
        <f>+IF(OR($R348=Parametres!$G$2,$R348=Parametres!$G$3),L348,F348)</f>
        <v>0</v>
      </c>
      <c r="R348" s="151">
        <f t="shared" si="32"/>
        <v>0</v>
      </c>
      <c r="S348" s="150">
        <f t="shared" si="33"/>
        <v>0</v>
      </c>
      <c r="T348" s="151">
        <f t="shared" si="34"/>
        <v>0</v>
      </c>
      <c r="U348" s="153" t="e">
        <f>+VLOOKUP($M348,Data_Validation!$A:$D,1,0)</f>
        <v>#N/A</v>
      </c>
      <c r="V348" s="153" t="e">
        <f>+VLOOKUP($M348,Data_Validation!$A:$D,3,0)</f>
        <v>#N/A</v>
      </c>
      <c r="W348" s="153" t="e">
        <f>+VLOOKUP($M348,Data_Validation!$A:$D,4,0)</f>
        <v>#N/A</v>
      </c>
      <c r="X348" s="153" t="e">
        <f>+VLOOKUP($M348,Data_Validation!$A:$E,5,0)</f>
        <v>#N/A</v>
      </c>
      <c r="Y348" s="153" t="e">
        <f>+VLOOKUP($M348,Data_Validation!$A:$F,6,0)</f>
        <v>#N/A</v>
      </c>
    </row>
    <row r="349" spans="2:25" ht="15" customHeight="1">
      <c r="B349" s="1398"/>
      <c r="C349" s="1401"/>
      <c r="D349" s="1400"/>
      <c r="E349" s="1400"/>
      <c r="F349" s="1400"/>
      <c r="G349" s="1398"/>
      <c r="H349" s="1398"/>
      <c r="I349" s="1198"/>
      <c r="J349" s="1198"/>
      <c r="K349" s="1198"/>
      <c r="L349" s="1198"/>
      <c r="M349" s="150">
        <f t="shared" si="30"/>
        <v>0</v>
      </c>
      <c r="N349" s="151">
        <f t="shared" si="31"/>
        <v>0</v>
      </c>
      <c r="O349" s="152">
        <f>+IF(OR($R349=Parametres!$G$2,$R349=Parametres!$G$3),J349,D349)</f>
        <v>0</v>
      </c>
      <c r="P349" s="1085">
        <f>+IF(OR($R349=Parametres!$G$2,$R349=Parametres!$G$3),K349,E349)</f>
        <v>0</v>
      </c>
      <c r="Q349" s="152">
        <f>+IF(OR($R349=Parametres!$G$2,$R349=Parametres!$G$3),L349,F349)</f>
        <v>0</v>
      </c>
      <c r="R349" s="151">
        <f t="shared" si="32"/>
        <v>0</v>
      </c>
      <c r="S349" s="150">
        <f t="shared" si="33"/>
        <v>0</v>
      </c>
      <c r="T349" s="151">
        <f t="shared" si="34"/>
        <v>0</v>
      </c>
      <c r="U349" s="153" t="e">
        <f>+VLOOKUP($M349,Data_Validation!$A:$D,1,0)</f>
        <v>#N/A</v>
      </c>
      <c r="V349" s="153" t="e">
        <f>+VLOOKUP($M349,Data_Validation!$A:$D,3,0)</f>
        <v>#N/A</v>
      </c>
      <c r="W349" s="153" t="e">
        <f>+VLOOKUP($M349,Data_Validation!$A:$D,4,0)</f>
        <v>#N/A</v>
      </c>
      <c r="X349" s="153" t="e">
        <f>+VLOOKUP($M349,Data_Validation!$A:$E,5,0)</f>
        <v>#N/A</v>
      </c>
      <c r="Y349" s="153" t="e">
        <f>+VLOOKUP($M349,Data_Validation!$A:$F,6,0)</f>
        <v>#N/A</v>
      </c>
    </row>
    <row r="350" spans="2:25" ht="15" customHeight="1">
      <c r="B350" s="1398"/>
      <c r="C350" s="1401"/>
      <c r="D350" s="1400"/>
      <c r="E350" s="1400"/>
      <c r="F350" s="1400"/>
      <c r="G350" s="1398"/>
      <c r="H350" s="1398"/>
      <c r="I350" s="1198"/>
      <c r="J350" s="1198"/>
      <c r="K350" s="1198"/>
      <c r="L350" s="1198"/>
      <c r="M350" s="150">
        <f t="shared" si="30"/>
        <v>0</v>
      </c>
      <c r="N350" s="151">
        <f t="shared" si="31"/>
        <v>0</v>
      </c>
      <c r="O350" s="152">
        <f>+IF(OR($R350=Parametres!$G$2,$R350=Parametres!$G$3),J350,D350)</f>
        <v>0</v>
      </c>
      <c r="P350" s="1086">
        <f>+IF(OR($R350=Parametres!$G$2,$R350=Parametres!$G$3),K350,E350)</f>
        <v>0</v>
      </c>
      <c r="Q350" s="152">
        <f>+IF(OR($R350=Parametres!$G$2,$R350=Parametres!$G$3),L350,F350)</f>
        <v>0</v>
      </c>
      <c r="R350" s="151">
        <f t="shared" si="32"/>
        <v>0</v>
      </c>
      <c r="S350" s="150">
        <f t="shared" si="33"/>
        <v>0</v>
      </c>
      <c r="T350" s="151">
        <f t="shared" si="34"/>
        <v>0</v>
      </c>
      <c r="U350" s="153" t="e">
        <f>+VLOOKUP($M350,Data_Validation!$A:$D,1,0)</f>
        <v>#N/A</v>
      </c>
      <c r="V350" s="153" t="e">
        <f>+VLOOKUP($M350,Data_Validation!$A:$D,3,0)</f>
        <v>#N/A</v>
      </c>
      <c r="W350" s="153" t="e">
        <f>+VLOOKUP($M350,Data_Validation!$A:$D,4,0)</f>
        <v>#N/A</v>
      </c>
      <c r="X350" s="153" t="e">
        <f>+VLOOKUP($M350,Data_Validation!$A:$E,5,0)</f>
        <v>#N/A</v>
      </c>
      <c r="Y350" s="153" t="e">
        <f>+VLOOKUP($M350,Data_Validation!$A:$F,6,0)</f>
        <v>#N/A</v>
      </c>
    </row>
    <row r="351" spans="2:25" ht="15" customHeight="1">
      <c r="B351" s="1398"/>
      <c r="C351" s="1401"/>
      <c r="D351" s="1400"/>
      <c r="E351" s="1400"/>
      <c r="F351" s="1400"/>
      <c r="G351" s="1398"/>
      <c r="H351" s="1398"/>
      <c r="I351" s="1198"/>
      <c r="J351" s="1198"/>
      <c r="K351" s="1198"/>
      <c r="L351" s="1198"/>
      <c r="M351" s="150">
        <f t="shared" si="30"/>
        <v>0</v>
      </c>
      <c r="N351" s="151">
        <f t="shared" si="31"/>
        <v>0</v>
      </c>
      <c r="O351" s="152">
        <f>+IF(OR($R351=Parametres!$G$2,$R351=Parametres!$G$3),J351,D351)</f>
        <v>0</v>
      </c>
      <c r="P351" s="1085">
        <f>+IF(OR($R351=Parametres!$G$2,$R351=Parametres!$G$3),K351,E351)</f>
        <v>0</v>
      </c>
      <c r="Q351" s="152">
        <f>+IF(OR($R351=Parametres!$G$2,$R351=Parametres!$G$3),L351,F351)</f>
        <v>0</v>
      </c>
      <c r="R351" s="151">
        <f t="shared" si="32"/>
        <v>0</v>
      </c>
      <c r="S351" s="150">
        <f t="shared" si="33"/>
        <v>0</v>
      </c>
      <c r="T351" s="151">
        <f t="shared" si="34"/>
        <v>0</v>
      </c>
      <c r="U351" s="153" t="e">
        <f>+VLOOKUP($M351,Data_Validation!$A:$D,1,0)</f>
        <v>#N/A</v>
      </c>
      <c r="V351" s="153" t="e">
        <f>+VLOOKUP($M351,Data_Validation!$A:$D,3,0)</f>
        <v>#N/A</v>
      </c>
      <c r="W351" s="153" t="e">
        <f>+VLOOKUP($M351,Data_Validation!$A:$D,4,0)</f>
        <v>#N/A</v>
      </c>
      <c r="X351" s="153" t="e">
        <f>+VLOOKUP($M351,Data_Validation!$A:$E,5,0)</f>
        <v>#N/A</v>
      </c>
      <c r="Y351" s="153" t="e">
        <f>+VLOOKUP($M351,Data_Validation!$A:$F,6,0)</f>
        <v>#N/A</v>
      </c>
    </row>
    <row r="352" spans="2:25" ht="15.75" customHeight="1">
      <c r="B352" s="1398"/>
      <c r="C352" s="1401"/>
      <c r="D352" s="1400"/>
      <c r="E352" s="1400"/>
      <c r="F352" s="1400"/>
      <c r="G352" s="1398"/>
      <c r="H352" s="1398"/>
      <c r="I352" s="1198"/>
      <c r="J352" s="1198"/>
      <c r="K352" s="1198"/>
      <c r="L352" s="1198"/>
      <c r="M352" s="150">
        <f t="shared" si="30"/>
        <v>0</v>
      </c>
      <c r="N352" s="151">
        <f t="shared" si="31"/>
        <v>0</v>
      </c>
      <c r="O352" s="152">
        <f>+IF(OR($R352=Parametres!$G$2,$R352=Parametres!$G$3),J352,D352)</f>
        <v>0</v>
      </c>
      <c r="P352" s="1083">
        <f>+IF(OR($R352=Parametres!$G$2,$R352=Parametres!$G$3),K352,E352)</f>
        <v>0</v>
      </c>
      <c r="Q352" s="152">
        <f>+IF(OR($R352=Parametres!$G$2,$R352=Parametres!$G$3),L352,F352)</f>
        <v>0</v>
      </c>
      <c r="R352" s="151">
        <f t="shared" si="32"/>
        <v>0</v>
      </c>
      <c r="S352" s="150">
        <f t="shared" si="33"/>
        <v>0</v>
      </c>
      <c r="T352" s="151">
        <f t="shared" si="34"/>
        <v>0</v>
      </c>
      <c r="U352" s="153" t="e">
        <f>+VLOOKUP($M352,Data_Validation!$A:$D,1,0)</f>
        <v>#N/A</v>
      </c>
      <c r="V352" s="153" t="e">
        <f>+VLOOKUP($M352,Data_Validation!$A:$D,3,0)</f>
        <v>#N/A</v>
      </c>
      <c r="W352" s="153" t="e">
        <f>+VLOOKUP($M352,Data_Validation!$A:$D,4,0)</f>
        <v>#N/A</v>
      </c>
      <c r="X352" s="153" t="e">
        <f>+VLOOKUP($M352,Data_Validation!$A:$E,5,0)</f>
        <v>#N/A</v>
      </c>
      <c r="Y352" s="153" t="e">
        <f>+VLOOKUP($M352,Data_Validation!$A:$F,6,0)</f>
        <v>#N/A</v>
      </c>
    </row>
    <row r="353" spans="2:25" ht="15" customHeight="1">
      <c r="B353" s="1398"/>
      <c r="C353" s="1401"/>
      <c r="D353" s="1400"/>
      <c r="E353" s="1400"/>
      <c r="F353" s="1400"/>
      <c r="G353" s="1398"/>
      <c r="H353" s="1398"/>
      <c r="I353" s="948"/>
      <c r="J353" s="951"/>
      <c r="K353" s="951"/>
      <c r="L353" s="951"/>
      <c r="M353" s="150">
        <f t="shared" si="30"/>
        <v>0</v>
      </c>
      <c r="N353" s="151">
        <f t="shared" si="31"/>
        <v>0</v>
      </c>
      <c r="O353" s="152">
        <f>+IF(OR($R353=Parametres!$G$2,$R353=Parametres!$G$3),J353,D353)</f>
        <v>0</v>
      </c>
      <c r="P353" s="1085">
        <f>+IF(OR($R353=Parametres!$G$2,$R353=Parametres!$G$3),K353,E353)</f>
        <v>0</v>
      </c>
      <c r="Q353" s="152">
        <f>+IF(OR($R353=Parametres!$G$2,$R353=Parametres!$G$3),L353,F353)</f>
        <v>0</v>
      </c>
      <c r="R353" s="151">
        <f t="shared" si="32"/>
        <v>0</v>
      </c>
      <c r="S353" s="150">
        <f t="shared" si="33"/>
        <v>0</v>
      </c>
      <c r="T353" s="151">
        <f t="shared" si="34"/>
        <v>0</v>
      </c>
      <c r="U353" s="153" t="e">
        <f>+VLOOKUP($M353,Data_Validation!$A:$D,1,0)</f>
        <v>#N/A</v>
      </c>
      <c r="V353" s="153" t="e">
        <f>+VLOOKUP($M353,Data_Validation!$A:$D,3,0)</f>
        <v>#N/A</v>
      </c>
      <c r="W353" s="153" t="e">
        <f>+VLOOKUP($M353,Data_Validation!$A:$D,4,0)</f>
        <v>#N/A</v>
      </c>
      <c r="X353" s="153" t="e">
        <f>+VLOOKUP($M353,Data_Validation!$A:$E,5,0)</f>
        <v>#N/A</v>
      </c>
      <c r="Y353" s="153" t="e">
        <f>+VLOOKUP($M353,Data_Validation!$A:$F,6,0)</f>
        <v>#N/A</v>
      </c>
    </row>
    <row r="354" spans="2:25" ht="15" customHeight="1">
      <c r="B354" s="1398"/>
      <c r="C354" s="1401"/>
      <c r="D354" s="1400"/>
      <c r="E354" s="1400"/>
      <c r="F354" s="1400"/>
      <c r="G354" s="1398"/>
      <c r="H354" s="1398"/>
      <c r="I354" s="928"/>
      <c r="J354" s="928"/>
      <c r="K354" s="928"/>
      <c r="L354" s="928"/>
      <c r="M354" s="150">
        <f t="shared" si="30"/>
        <v>0</v>
      </c>
      <c r="N354" s="151">
        <f t="shared" si="31"/>
        <v>0</v>
      </c>
      <c r="O354" s="152">
        <f>+IF(OR($R354=Parametres!$G$2,$R354=Parametres!$G$3),J354,D354)</f>
        <v>0</v>
      </c>
      <c r="P354" s="1085">
        <f>+IF(OR($R354=Parametres!$G$2,$R354=Parametres!$G$3),K354,E354)</f>
        <v>0</v>
      </c>
      <c r="Q354" s="152">
        <f>+IF(OR($R354=Parametres!$G$2,$R354=Parametres!$G$3),L354,F354)</f>
        <v>0</v>
      </c>
      <c r="R354" s="151">
        <f t="shared" si="32"/>
        <v>0</v>
      </c>
      <c r="S354" s="150">
        <f t="shared" si="33"/>
        <v>0</v>
      </c>
      <c r="T354" s="151">
        <f t="shared" si="34"/>
        <v>0</v>
      </c>
      <c r="U354" s="153" t="e">
        <f>+VLOOKUP($M354,Data_Validation!$A:$D,1,0)</f>
        <v>#N/A</v>
      </c>
      <c r="V354" s="153" t="e">
        <f>+VLOOKUP($M354,Data_Validation!$A:$D,3,0)</f>
        <v>#N/A</v>
      </c>
      <c r="W354" s="153" t="e">
        <f>+VLOOKUP($M354,Data_Validation!$A:$D,4,0)</f>
        <v>#N/A</v>
      </c>
      <c r="X354" s="153" t="e">
        <f>+VLOOKUP($M354,Data_Validation!$A:$E,5,0)</f>
        <v>#N/A</v>
      </c>
      <c r="Y354" s="153" t="e">
        <f>+VLOOKUP($M354,Data_Validation!$A:$F,6,0)</f>
        <v>#N/A</v>
      </c>
    </row>
    <row r="355" spans="2:25" ht="15" customHeight="1">
      <c r="B355" s="1398"/>
      <c r="C355" s="1401"/>
      <c r="D355" s="1400"/>
      <c r="E355" s="1400"/>
      <c r="F355" s="1400"/>
      <c r="G355" s="1398"/>
      <c r="H355" s="1398"/>
      <c r="I355" s="948"/>
      <c r="J355" s="951"/>
      <c r="K355" s="951"/>
      <c r="L355" s="951"/>
      <c r="M355" s="150">
        <f t="shared" si="30"/>
        <v>0</v>
      </c>
      <c r="N355" s="151">
        <f t="shared" si="31"/>
        <v>0</v>
      </c>
      <c r="O355" s="152">
        <f>+IF(OR($R355=Parametres!$G$2,$R355=Parametres!$G$3),J355,D355)</f>
        <v>0</v>
      </c>
      <c r="P355" s="1085">
        <f>+IF(OR($R355=Parametres!$G$2,$R355=Parametres!$G$3),K355,E355)</f>
        <v>0</v>
      </c>
      <c r="Q355" s="152">
        <f>+IF(OR($R355=Parametres!$G$2,$R355=Parametres!$G$3),L355,F355)</f>
        <v>0</v>
      </c>
      <c r="R355" s="151">
        <f t="shared" si="32"/>
        <v>0</v>
      </c>
      <c r="S355" s="150">
        <f t="shared" si="33"/>
        <v>0</v>
      </c>
      <c r="T355" s="151">
        <f t="shared" si="34"/>
        <v>0</v>
      </c>
      <c r="U355" s="153" t="e">
        <f>+VLOOKUP($M355,Data_Validation!$A:$D,1,0)</f>
        <v>#N/A</v>
      </c>
      <c r="V355" s="153" t="e">
        <f>+VLOOKUP($M355,Data_Validation!$A:$D,3,0)</f>
        <v>#N/A</v>
      </c>
      <c r="W355" s="153" t="e">
        <f>+VLOOKUP($M355,Data_Validation!$A:$D,4,0)</f>
        <v>#N/A</v>
      </c>
      <c r="X355" s="153" t="e">
        <f>+VLOOKUP($M355,Data_Validation!$A:$E,5,0)</f>
        <v>#N/A</v>
      </c>
      <c r="Y355" s="153" t="e">
        <f>+VLOOKUP($M355,Data_Validation!$A:$F,6,0)</f>
        <v>#N/A</v>
      </c>
    </row>
    <row r="356" spans="2:25" ht="15" customHeight="1">
      <c r="B356" s="1398"/>
      <c r="C356" s="1401"/>
      <c r="D356" s="1400"/>
      <c r="E356" s="1400"/>
      <c r="F356" s="1400"/>
      <c r="G356" s="1398"/>
      <c r="H356" s="1398"/>
      <c r="I356" s="948"/>
      <c r="J356" s="949"/>
      <c r="K356" s="949"/>
      <c r="L356" s="949"/>
      <c r="M356" s="150">
        <f t="shared" si="30"/>
        <v>0</v>
      </c>
      <c r="N356" s="151">
        <f t="shared" si="31"/>
        <v>0</v>
      </c>
      <c r="O356" s="152">
        <f>+IF(OR($R356=Parametres!$G$2,$R356=Parametres!$G$3),J356,D356)</f>
        <v>0</v>
      </c>
      <c r="P356" s="1085">
        <f>+IF(OR($R356=Parametres!$G$2,$R356=Parametres!$G$3),K356,E356)</f>
        <v>0</v>
      </c>
      <c r="Q356" s="152">
        <f>+IF(OR($R356=Parametres!$G$2,$R356=Parametres!$G$3),L356,F356)</f>
        <v>0</v>
      </c>
      <c r="R356" s="151">
        <f t="shared" si="32"/>
        <v>0</v>
      </c>
      <c r="S356" s="150">
        <f t="shared" si="33"/>
        <v>0</v>
      </c>
      <c r="T356" s="151">
        <f t="shared" si="34"/>
        <v>0</v>
      </c>
      <c r="U356" s="153" t="e">
        <f>+VLOOKUP($M356,Data_Validation!$A:$D,1,0)</f>
        <v>#N/A</v>
      </c>
      <c r="V356" s="153" t="e">
        <f>+VLOOKUP($M356,Data_Validation!$A:$D,3,0)</f>
        <v>#N/A</v>
      </c>
      <c r="W356" s="153" t="e">
        <f>+VLOOKUP($M356,Data_Validation!$A:$D,4,0)</f>
        <v>#N/A</v>
      </c>
      <c r="X356" s="153" t="e">
        <f>+VLOOKUP($M356,Data_Validation!$A:$E,5,0)</f>
        <v>#N/A</v>
      </c>
      <c r="Y356" s="153" t="e">
        <f>+VLOOKUP($M356,Data_Validation!$A:$F,6,0)</f>
        <v>#N/A</v>
      </c>
    </row>
    <row r="357" spans="2:25" ht="15" customHeight="1">
      <c r="B357" s="1398"/>
      <c r="C357" s="1401"/>
      <c r="D357" s="1400"/>
      <c r="E357" s="1400"/>
      <c r="F357" s="1400"/>
      <c r="G357" s="1398"/>
      <c r="H357" s="1398"/>
      <c r="I357" s="948"/>
      <c r="J357" s="949"/>
      <c r="K357" s="949"/>
      <c r="L357" s="949"/>
      <c r="M357" s="150">
        <f t="shared" si="30"/>
        <v>0</v>
      </c>
      <c r="N357" s="151">
        <f t="shared" si="31"/>
        <v>0</v>
      </c>
      <c r="O357" s="152">
        <f>+IF(OR($R357=Parametres!$G$2,$R357=Parametres!$G$3),J357,D357)</f>
        <v>0</v>
      </c>
      <c r="P357" s="1085">
        <f>+IF(OR($R357=Parametres!$G$2,$R357=Parametres!$G$3),K357,E357)</f>
        <v>0</v>
      </c>
      <c r="Q357" s="152">
        <f>+IF(OR($R357=Parametres!$G$2,$R357=Parametres!$G$3),L357,F357)</f>
        <v>0</v>
      </c>
      <c r="R357" s="151">
        <f t="shared" si="32"/>
        <v>0</v>
      </c>
      <c r="S357" s="150">
        <f t="shared" si="33"/>
        <v>0</v>
      </c>
      <c r="T357" s="151">
        <f t="shared" si="34"/>
        <v>0</v>
      </c>
      <c r="U357" s="153" t="e">
        <f>+VLOOKUP($M357,Data_Validation!$A:$D,1,0)</f>
        <v>#N/A</v>
      </c>
      <c r="V357" s="153" t="e">
        <f>+VLOOKUP($M357,Data_Validation!$A:$D,3,0)</f>
        <v>#N/A</v>
      </c>
      <c r="W357" s="153" t="e">
        <f>+VLOOKUP($M357,Data_Validation!$A:$D,4,0)</f>
        <v>#N/A</v>
      </c>
      <c r="X357" s="153" t="e">
        <f>+VLOOKUP($M357,Data_Validation!$A:$E,5,0)</f>
        <v>#N/A</v>
      </c>
      <c r="Y357" s="153" t="e">
        <f>+VLOOKUP($M357,Data_Validation!$A:$F,6,0)</f>
        <v>#N/A</v>
      </c>
    </row>
    <row r="358" spans="2:25" ht="15.75" customHeight="1">
      <c r="B358" s="1398"/>
      <c r="C358" s="1401"/>
      <c r="D358" s="1400"/>
      <c r="E358" s="1400"/>
      <c r="F358" s="1400"/>
      <c r="G358" s="1398"/>
      <c r="H358" s="1398"/>
      <c r="I358" s="948"/>
      <c r="J358" s="951"/>
      <c r="K358" s="951"/>
      <c r="L358" s="951"/>
      <c r="M358" s="150">
        <f t="shared" si="30"/>
        <v>0</v>
      </c>
      <c r="N358" s="151">
        <f t="shared" si="31"/>
        <v>0</v>
      </c>
      <c r="O358" s="152">
        <f>+IF(OR($R358=Parametres!$G$2,$R358=Parametres!$G$3),J358,D358)</f>
        <v>0</v>
      </c>
      <c r="P358" s="1085">
        <f>+IF(OR($R358=Parametres!$G$2,$R358=Parametres!$G$3),K358,E358)</f>
        <v>0</v>
      </c>
      <c r="Q358" s="152">
        <f>+IF(OR($R358=Parametres!$G$2,$R358=Parametres!$G$3),L358,F358)</f>
        <v>0</v>
      </c>
      <c r="R358" s="151">
        <f t="shared" si="32"/>
        <v>0</v>
      </c>
      <c r="S358" s="150">
        <f t="shared" si="33"/>
        <v>0</v>
      </c>
      <c r="T358" s="151">
        <f t="shared" si="34"/>
        <v>0</v>
      </c>
      <c r="U358" s="153" t="e">
        <f>+VLOOKUP($M358,Data_Validation!$A:$D,1,0)</f>
        <v>#N/A</v>
      </c>
      <c r="V358" s="153" t="e">
        <f>+VLOOKUP($M358,Data_Validation!$A:$D,3,0)</f>
        <v>#N/A</v>
      </c>
      <c r="W358" s="153" t="e">
        <f>+VLOOKUP($M358,Data_Validation!$A:$D,4,0)</f>
        <v>#N/A</v>
      </c>
      <c r="X358" s="153" t="e">
        <f>+VLOOKUP($M358,Data_Validation!$A:$E,5,0)</f>
        <v>#N/A</v>
      </c>
      <c r="Y358" s="153" t="e">
        <f>+VLOOKUP($M358,Data_Validation!$A:$F,6,0)</f>
        <v>#N/A</v>
      </c>
    </row>
    <row r="359" spans="2:25" ht="15" customHeight="1">
      <c r="B359" s="1398"/>
      <c r="C359" s="1401"/>
      <c r="D359" s="1400"/>
      <c r="E359" s="1400"/>
      <c r="F359" s="1400"/>
      <c r="G359" s="1398"/>
      <c r="H359" s="1398"/>
      <c r="I359" s="928"/>
      <c r="J359" s="928"/>
      <c r="K359" s="928"/>
      <c r="L359" s="928"/>
      <c r="M359" s="150">
        <f t="shared" si="30"/>
        <v>0</v>
      </c>
      <c r="N359" s="151">
        <f t="shared" si="31"/>
        <v>0</v>
      </c>
      <c r="O359" s="152">
        <f>+IF(OR($R359=Parametres!$G$2,$R359=Parametres!$G$3),J359,D359)</f>
        <v>0</v>
      </c>
      <c r="P359" s="1085">
        <f>+IF(OR($R359=Parametres!$G$2,$R359=Parametres!$G$3),K359,E359)</f>
        <v>0</v>
      </c>
      <c r="Q359" s="152">
        <f>+IF(OR($R359=Parametres!$G$2,$R359=Parametres!$G$3),L359,F359)</f>
        <v>0</v>
      </c>
      <c r="R359" s="151">
        <f t="shared" si="32"/>
        <v>0</v>
      </c>
      <c r="S359" s="150">
        <f t="shared" si="33"/>
        <v>0</v>
      </c>
      <c r="T359" s="151">
        <f t="shared" si="34"/>
        <v>0</v>
      </c>
      <c r="U359" s="153" t="e">
        <f>+VLOOKUP($M359,Data_Validation!$A:$D,1,0)</f>
        <v>#N/A</v>
      </c>
      <c r="V359" s="153" t="e">
        <f>+VLOOKUP($M359,Data_Validation!$A:$D,3,0)</f>
        <v>#N/A</v>
      </c>
      <c r="W359" s="153" t="e">
        <f>+VLOOKUP($M359,Data_Validation!$A:$D,4,0)</f>
        <v>#N/A</v>
      </c>
      <c r="X359" s="153" t="e">
        <f>+VLOOKUP($M359,Data_Validation!$A:$E,5,0)</f>
        <v>#N/A</v>
      </c>
      <c r="Y359" s="153" t="e">
        <f>+VLOOKUP($M359,Data_Validation!$A:$F,6,0)</f>
        <v>#N/A</v>
      </c>
    </row>
    <row r="360" spans="2:25" ht="15" customHeight="1">
      <c r="B360" s="1398"/>
      <c r="C360" s="1401"/>
      <c r="D360" s="1400"/>
      <c r="E360" s="1400"/>
      <c r="F360" s="1400"/>
      <c r="G360" s="1398"/>
      <c r="H360" s="1398"/>
      <c r="I360" s="928"/>
      <c r="J360" s="927"/>
      <c r="K360" s="927"/>
      <c r="L360" s="927"/>
      <c r="M360" s="150">
        <f t="shared" si="30"/>
        <v>0</v>
      </c>
      <c r="N360" s="151">
        <f t="shared" si="31"/>
        <v>0</v>
      </c>
      <c r="O360" s="152">
        <f>+IF(OR($R360=Parametres!$G$2,$R360=Parametres!$G$3),J360,D360)</f>
        <v>0</v>
      </c>
      <c r="P360" s="1085">
        <f>+IF(OR($R360=Parametres!$G$2,$R360=Parametres!$G$3),K360,E360)</f>
        <v>0</v>
      </c>
      <c r="Q360" s="152">
        <f>+IF(OR($R360=Parametres!$G$2,$R360=Parametres!$G$3),L360,F360)</f>
        <v>0</v>
      </c>
      <c r="R360" s="151">
        <f t="shared" si="32"/>
        <v>0</v>
      </c>
      <c r="S360" s="150">
        <f t="shared" si="33"/>
        <v>0</v>
      </c>
      <c r="T360" s="151">
        <f t="shared" si="34"/>
        <v>0</v>
      </c>
      <c r="U360" s="153" t="e">
        <f>+VLOOKUP($M360,Data_Validation!$A:$D,1,0)</f>
        <v>#N/A</v>
      </c>
      <c r="V360" s="153" t="e">
        <f>+VLOOKUP($M360,Data_Validation!$A:$D,3,0)</f>
        <v>#N/A</v>
      </c>
      <c r="W360" s="153" t="e">
        <f>+VLOOKUP($M360,Data_Validation!$A:$D,4,0)</f>
        <v>#N/A</v>
      </c>
      <c r="X360" s="153" t="e">
        <f>+VLOOKUP($M360,Data_Validation!$A:$E,5,0)</f>
        <v>#N/A</v>
      </c>
      <c r="Y360" s="153" t="e">
        <f>+VLOOKUP($M360,Data_Validation!$A:$F,6,0)</f>
        <v>#N/A</v>
      </c>
    </row>
    <row r="361" spans="2:25" ht="15" customHeight="1">
      <c r="B361" s="1398"/>
      <c r="C361" s="1401"/>
      <c r="D361" s="1400"/>
      <c r="E361" s="1400"/>
      <c r="F361" s="1400"/>
      <c r="G361" s="1398"/>
      <c r="H361" s="1398"/>
      <c r="I361" s="948"/>
      <c r="J361" s="949"/>
      <c r="K361" s="949"/>
      <c r="L361" s="949"/>
      <c r="M361" s="150">
        <f t="shared" si="30"/>
        <v>0</v>
      </c>
      <c r="N361" s="151">
        <f t="shared" si="31"/>
        <v>0</v>
      </c>
      <c r="O361" s="152">
        <f>+IF(OR($R361=Parametres!$G$2,$R361=Parametres!$G$3),J361,D361)</f>
        <v>0</v>
      </c>
      <c r="P361" s="1085">
        <f>+IF(OR($R361=Parametres!$G$2,$R361=Parametres!$G$3),K361,E361)</f>
        <v>0</v>
      </c>
      <c r="Q361" s="152">
        <f>+IF(OR($R361=Parametres!$G$2,$R361=Parametres!$G$3),L361,F361)</f>
        <v>0</v>
      </c>
      <c r="R361" s="151">
        <f t="shared" si="32"/>
        <v>0</v>
      </c>
      <c r="S361" s="150">
        <f t="shared" si="33"/>
        <v>0</v>
      </c>
      <c r="T361" s="151">
        <f t="shared" si="34"/>
        <v>0</v>
      </c>
      <c r="U361" s="153" t="e">
        <f>+VLOOKUP($M361,Data_Validation!$A:$D,1,0)</f>
        <v>#N/A</v>
      </c>
      <c r="V361" s="153" t="e">
        <f>+VLOOKUP($M361,Data_Validation!$A:$D,3,0)</f>
        <v>#N/A</v>
      </c>
      <c r="W361" s="153" t="e">
        <f>+VLOOKUP($M361,Data_Validation!$A:$D,4,0)</f>
        <v>#N/A</v>
      </c>
      <c r="X361" s="153" t="e">
        <f>+VLOOKUP($M361,Data_Validation!$A:$E,5,0)</f>
        <v>#N/A</v>
      </c>
      <c r="Y361" s="153" t="e">
        <f>+VLOOKUP($M361,Data_Validation!$A:$F,6,0)</f>
        <v>#N/A</v>
      </c>
    </row>
    <row r="362" spans="2:25" ht="15.75" customHeight="1">
      <c r="B362" s="1398"/>
      <c r="C362" s="1401"/>
      <c r="D362" s="1400"/>
      <c r="E362" s="1400"/>
      <c r="F362" s="1400"/>
      <c r="G362" s="1398"/>
      <c r="H362" s="1398"/>
      <c r="I362" s="948"/>
      <c r="J362" s="949"/>
      <c r="K362" s="949"/>
      <c r="L362" s="949"/>
      <c r="M362" s="150">
        <f t="shared" si="30"/>
        <v>0</v>
      </c>
      <c r="N362" s="151">
        <f t="shared" si="31"/>
        <v>0</v>
      </c>
      <c r="O362" s="152">
        <f>+IF(OR($R362=Parametres!$G$2,$R362=Parametres!$G$3),J362,D362)</f>
        <v>0</v>
      </c>
      <c r="P362" s="1085">
        <f>+IF(OR($R362=Parametres!$G$2,$R362=Parametres!$G$3),K362,E362)</f>
        <v>0</v>
      </c>
      <c r="Q362" s="152">
        <f>+IF(OR($R362=Parametres!$G$2,$R362=Parametres!$G$3),L362,F362)</f>
        <v>0</v>
      </c>
      <c r="R362" s="151">
        <f t="shared" si="32"/>
        <v>0</v>
      </c>
      <c r="S362" s="150">
        <f t="shared" si="33"/>
        <v>0</v>
      </c>
      <c r="T362" s="151">
        <f t="shared" si="34"/>
        <v>0</v>
      </c>
      <c r="U362" s="153" t="e">
        <f>+VLOOKUP($M362,Data_Validation!$A:$D,1,0)</f>
        <v>#N/A</v>
      </c>
      <c r="V362" s="153" t="e">
        <f>+VLOOKUP($M362,Data_Validation!$A:$D,3,0)</f>
        <v>#N/A</v>
      </c>
      <c r="W362" s="153" t="e">
        <f>+VLOOKUP($M362,Data_Validation!$A:$D,4,0)</f>
        <v>#N/A</v>
      </c>
      <c r="X362" s="153" t="e">
        <f>+VLOOKUP($M362,Data_Validation!$A:$E,5,0)</f>
        <v>#N/A</v>
      </c>
      <c r="Y362" s="153" t="e">
        <f>+VLOOKUP($M362,Data_Validation!$A:$F,6,0)</f>
        <v>#N/A</v>
      </c>
    </row>
    <row r="363" spans="2:25" ht="15.75" customHeight="1">
      <c r="B363" s="1398"/>
      <c r="C363" s="1401"/>
      <c r="D363" s="1400"/>
      <c r="E363" s="1400"/>
      <c r="F363" s="1400"/>
      <c r="G363" s="1398"/>
      <c r="H363" s="1398"/>
      <c r="I363" s="989"/>
      <c r="J363" s="989"/>
      <c r="K363" s="989"/>
      <c r="L363" s="989"/>
      <c r="M363" s="150">
        <f t="shared" si="30"/>
        <v>0</v>
      </c>
      <c r="N363" s="151">
        <f t="shared" si="31"/>
        <v>0</v>
      </c>
      <c r="O363" s="152">
        <f>+IF(OR($R363=Parametres!$G$2,$R363=Parametres!$G$3),J363,D363)</f>
        <v>0</v>
      </c>
      <c r="P363" s="1085">
        <f>+IF(OR($R363=Parametres!$G$2,$R363=Parametres!$G$3),K363,E363)</f>
        <v>0</v>
      </c>
      <c r="Q363" s="152">
        <f>+IF(OR($R363=Parametres!$G$2,$R363=Parametres!$G$3),L363,F363)</f>
        <v>0</v>
      </c>
      <c r="R363" s="151">
        <f t="shared" si="32"/>
        <v>0</v>
      </c>
      <c r="S363" s="150">
        <f t="shared" si="33"/>
        <v>0</v>
      </c>
      <c r="T363" s="151">
        <f t="shared" si="34"/>
        <v>0</v>
      </c>
      <c r="U363" s="153" t="e">
        <f>+VLOOKUP($M363,Data_Validation!$A:$D,1,0)</f>
        <v>#N/A</v>
      </c>
      <c r="V363" s="153" t="e">
        <f>+VLOOKUP($M363,Data_Validation!$A:$D,3,0)</f>
        <v>#N/A</v>
      </c>
      <c r="W363" s="153" t="e">
        <f>+VLOOKUP($M363,Data_Validation!$A:$D,4,0)</f>
        <v>#N/A</v>
      </c>
      <c r="X363" s="153" t="e">
        <f>+VLOOKUP($M363,Data_Validation!$A:$E,5,0)</f>
        <v>#N/A</v>
      </c>
      <c r="Y363" s="153" t="e">
        <f>+VLOOKUP($M363,Data_Validation!$A:$F,6,0)</f>
        <v>#N/A</v>
      </c>
    </row>
    <row r="364" spans="2:25" ht="15" customHeight="1">
      <c r="B364" s="1398"/>
      <c r="C364" s="1401"/>
      <c r="D364" s="1400"/>
      <c r="E364" s="1400"/>
      <c r="F364" s="1400"/>
      <c r="G364" s="1398"/>
      <c r="H364" s="1398"/>
      <c r="I364" s="989"/>
      <c r="J364" s="990"/>
      <c r="K364" s="990"/>
      <c r="L364" s="990"/>
      <c r="M364" s="150">
        <f t="shared" si="30"/>
        <v>0</v>
      </c>
      <c r="N364" s="151">
        <f t="shared" si="31"/>
        <v>0</v>
      </c>
      <c r="O364" s="152">
        <f>+IF(OR($R364=Parametres!$G$2,$R364=Parametres!$G$3),J364,D364)</f>
        <v>0</v>
      </c>
      <c r="P364" s="1085">
        <f>+IF(OR($R364=Parametres!$G$2,$R364=Parametres!$G$3),K364,E364)</f>
        <v>0</v>
      </c>
      <c r="Q364" s="152">
        <f>+IF(OR($R364=Parametres!$G$2,$R364=Parametres!$G$3),L364,F364)</f>
        <v>0</v>
      </c>
      <c r="R364" s="151">
        <f t="shared" si="32"/>
        <v>0</v>
      </c>
      <c r="S364" s="150">
        <f t="shared" si="33"/>
        <v>0</v>
      </c>
      <c r="T364" s="151">
        <f t="shared" si="34"/>
        <v>0</v>
      </c>
      <c r="U364" s="153" t="e">
        <f>+VLOOKUP($M364,Data_Validation!$A:$D,1,0)</f>
        <v>#N/A</v>
      </c>
      <c r="V364" s="153" t="e">
        <f>+VLOOKUP($M364,Data_Validation!$A:$D,3,0)</f>
        <v>#N/A</v>
      </c>
      <c r="W364" s="153" t="e">
        <f>+VLOOKUP($M364,Data_Validation!$A:$D,4,0)</f>
        <v>#N/A</v>
      </c>
      <c r="X364" s="153" t="e">
        <f>+VLOOKUP($M364,Data_Validation!$A:$E,5,0)</f>
        <v>#N/A</v>
      </c>
      <c r="Y364" s="153" t="e">
        <f>+VLOOKUP($M364,Data_Validation!$A:$F,6,0)</f>
        <v>#N/A</v>
      </c>
    </row>
    <row r="365" spans="2:25" ht="15" customHeight="1">
      <c r="B365" s="1398"/>
      <c r="C365" s="1401"/>
      <c r="D365" s="1400"/>
      <c r="E365" s="1400"/>
      <c r="F365" s="1400"/>
      <c r="G365" s="1398"/>
      <c r="H365" s="1398"/>
      <c r="I365" s="989"/>
      <c r="J365" s="989"/>
      <c r="K365" s="989"/>
      <c r="L365" s="989"/>
      <c r="M365" s="150">
        <f t="shared" si="30"/>
        <v>0</v>
      </c>
      <c r="N365" s="151">
        <f t="shared" si="31"/>
        <v>0</v>
      </c>
      <c r="O365" s="152">
        <f>+IF(OR($R365=Parametres!$G$2,$R365=Parametres!$G$3),J365,D365)</f>
        <v>0</v>
      </c>
      <c r="P365" s="1085">
        <f>+IF(OR($R365=Parametres!$G$2,$R365=Parametres!$G$3),K365,E365)</f>
        <v>0</v>
      </c>
      <c r="Q365" s="152">
        <f>+IF(OR($R365=Parametres!$G$2,$R365=Parametres!$G$3),L365,F365)</f>
        <v>0</v>
      </c>
      <c r="R365" s="151">
        <f t="shared" si="32"/>
        <v>0</v>
      </c>
      <c r="S365" s="150">
        <f t="shared" si="33"/>
        <v>0</v>
      </c>
      <c r="T365" s="151">
        <f t="shared" si="34"/>
        <v>0</v>
      </c>
      <c r="U365" s="153" t="e">
        <f>+VLOOKUP($M365,Data_Validation!$A:$D,1,0)</f>
        <v>#N/A</v>
      </c>
      <c r="V365" s="153" t="e">
        <f>+VLOOKUP($M365,Data_Validation!$A:$D,3,0)</f>
        <v>#N/A</v>
      </c>
      <c r="W365" s="153" t="e">
        <f>+VLOOKUP($M365,Data_Validation!$A:$D,4,0)</f>
        <v>#N/A</v>
      </c>
      <c r="X365" s="153" t="e">
        <f>+VLOOKUP($M365,Data_Validation!$A:$E,5,0)</f>
        <v>#N/A</v>
      </c>
      <c r="Y365" s="153" t="e">
        <f>+VLOOKUP($M365,Data_Validation!$A:$F,6,0)</f>
        <v>#N/A</v>
      </c>
    </row>
    <row r="366" spans="2:25" ht="15" customHeight="1">
      <c r="B366" s="1398"/>
      <c r="C366" s="1401"/>
      <c r="D366" s="1400"/>
      <c r="E366" s="1400"/>
      <c r="F366" s="1400"/>
      <c r="G366" s="1398"/>
      <c r="H366" s="1398"/>
      <c r="I366" s="989"/>
      <c r="J366" s="990"/>
      <c r="K366" s="990"/>
      <c r="L366" s="990"/>
      <c r="M366" s="150">
        <f t="shared" si="30"/>
        <v>0</v>
      </c>
      <c r="N366" s="151">
        <f t="shared" si="31"/>
        <v>0</v>
      </c>
      <c r="O366" s="152">
        <f>+IF(OR($R366=Parametres!$G$2,$R366=Parametres!$G$3),J366,D366)</f>
        <v>0</v>
      </c>
      <c r="P366" s="1083">
        <f>+IF(OR($R366=Parametres!$G$2,$R366=Parametres!$G$3),K366,E366)</f>
        <v>0</v>
      </c>
      <c r="Q366" s="152">
        <f>+IF(OR($R366=Parametres!$G$2,$R366=Parametres!$G$3),L366,F366)</f>
        <v>0</v>
      </c>
      <c r="R366" s="151">
        <f t="shared" si="32"/>
        <v>0</v>
      </c>
      <c r="S366" s="150">
        <f t="shared" si="33"/>
        <v>0</v>
      </c>
      <c r="T366" s="151">
        <f t="shared" si="34"/>
        <v>0</v>
      </c>
      <c r="U366" s="153" t="e">
        <f>+VLOOKUP($M366,Data_Validation!$A:$D,1,0)</f>
        <v>#N/A</v>
      </c>
      <c r="V366" s="153" t="e">
        <f>+VLOOKUP($M366,Data_Validation!$A:$D,3,0)</f>
        <v>#N/A</v>
      </c>
      <c r="W366" s="153" t="e">
        <f>+VLOOKUP($M366,Data_Validation!$A:$D,4,0)</f>
        <v>#N/A</v>
      </c>
      <c r="X366" s="153" t="e">
        <f>+VLOOKUP($M366,Data_Validation!$A:$E,5,0)</f>
        <v>#N/A</v>
      </c>
      <c r="Y366" s="153" t="e">
        <f>+VLOOKUP($M366,Data_Validation!$A:$F,6,0)</f>
        <v>#N/A</v>
      </c>
    </row>
    <row r="367" spans="2:25" ht="15" customHeight="1">
      <c r="B367" s="1398"/>
      <c r="C367" s="1401"/>
      <c r="D367" s="1400"/>
      <c r="E367" s="1400"/>
      <c r="F367" s="1400"/>
      <c r="G367" s="1398"/>
      <c r="H367" s="1398"/>
      <c r="I367" s="989"/>
      <c r="J367" s="989"/>
      <c r="K367" s="989"/>
      <c r="L367" s="989"/>
      <c r="M367" s="150">
        <f t="shared" si="30"/>
        <v>0</v>
      </c>
      <c r="N367" s="151">
        <f t="shared" si="31"/>
        <v>0</v>
      </c>
      <c r="O367" s="152">
        <f>+IF(OR($R367=Parametres!$G$2,$R367=Parametres!$G$3),J367,D367)</f>
        <v>0</v>
      </c>
      <c r="P367" s="1085">
        <f>+IF(OR($R367=Parametres!$G$2,$R367=Parametres!$G$3),K367,E367)</f>
        <v>0</v>
      </c>
      <c r="Q367" s="152">
        <f>+IF(OR($R367=Parametres!$G$2,$R367=Parametres!$G$3),L367,F367)</f>
        <v>0</v>
      </c>
      <c r="R367" s="151">
        <f t="shared" si="32"/>
        <v>0</v>
      </c>
      <c r="S367" s="150">
        <f t="shared" si="33"/>
        <v>0</v>
      </c>
      <c r="T367" s="151">
        <f t="shared" si="34"/>
        <v>0</v>
      </c>
      <c r="U367" s="153" t="e">
        <f>+VLOOKUP($M367,Data_Validation!$A:$D,1,0)</f>
        <v>#N/A</v>
      </c>
      <c r="V367" s="153" t="e">
        <f>+VLOOKUP($M367,Data_Validation!$A:$D,3,0)</f>
        <v>#N/A</v>
      </c>
      <c r="W367" s="153" t="e">
        <f>+VLOOKUP($M367,Data_Validation!$A:$D,4,0)</f>
        <v>#N/A</v>
      </c>
      <c r="X367" s="153" t="e">
        <f>+VLOOKUP($M367,Data_Validation!$A:$E,5,0)</f>
        <v>#N/A</v>
      </c>
      <c r="Y367" s="153" t="e">
        <f>+VLOOKUP($M367,Data_Validation!$A:$F,6,0)</f>
        <v>#N/A</v>
      </c>
    </row>
    <row r="368" spans="2:25" ht="15" customHeight="1">
      <c r="B368" s="1398"/>
      <c r="C368" s="1401"/>
      <c r="D368" s="1400"/>
      <c r="E368" s="1400"/>
      <c r="F368" s="1400"/>
      <c r="G368" s="1398"/>
      <c r="H368" s="1398"/>
      <c r="I368" s="948"/>
      <c r="J368" s="949"/>
      <c r="K368" s="949"/>
      <c r="L368" s="949"/>
      <c r="M368" s="150">
        <f t="shared" si="30"/>
        <v>0</v>
      </c>
      <c r="N368" s="151">
        <f t="shared" si="31"/>
        <v>0</v>
      </c>
      <c r="O368" s="152">
        <f>+IF(OR($R368=Parametres!$G$2,$R368=Parametres!$G$3),J368,D368)</f>
        <v>0</v>
      </c>
      <c r="P368" s="1085">
        <f>+IF(OR($R368=Parametres!$G$2,$R368=Parametres!$G$3),K368,E368)</f>
        <v>0</v>
      </c>
      <c r="Q368" s="152">
        <f>+IF(OR($R368=Parametres!$G$2,$R368=Parametres!$G$3),L368,F368)</f>
        <v>0</v>
      </c>
      <c r="R368" s="151">
        <f t="shared" si="32"/>
        <v>0</v>
      </c>
      <c r="S368" s="150">
        <f t="shared" si="33"/>
        <v>0</v>
      </c>
      <c r="T368" s="151">
        <f t="shared" si="34"/>
        <v>0</v>
      </c>
      <c r="U368" s="153" t="e">
        <f>+VLOOKUP($M368,Data_Validation!$A:$D,1,0)</f>
        <v>#N/A</v>
      </c>
      <c r="V368" s="153" t="e">
        <f>+VLOOKUP($M368,Data_Validation!$A:$D,3,0)</f>
        <v>#N/A</v>
      </c>
      <c r="W368" s="153" t="e">
        <f>+VLOOKUP($M368,Data_Validation!$A:$D,4,0)</f>
        <v>#N/A</v>
      </c>
      <c r="X368" s="153" t="e">
        <f>+VLOOKUP($M368,Data_Validation!$A:$E,5,0)</f>
        <v>#N/A</v>
      </c>
      <c r="Y368" s="153" t="e">
        <f>+VLOOKUP($M368,Data_Validation!$A:$F,6,0)</f>
        <v>#N/A</v>
      </c>
    </row>
    <row r="369" spans="2:25" ht="15.75" customHeight="1">
      <c r="B369" s="1398"/>
      <c r="C369" s="1401"/>
      <c r="D369" s="1400"/>
      <c r="E369" s="1400"/>
      <c r="F369" s="1400"/>
      <c r="G369" s="1398"/>
      <c r="H369" s="1398"/>
      <c r="I369" s="948"/>
      <c r="J369" s="951"/>
      <c r="K369" s="951"/>
      <c r="L369" s="951"/>
      <c r="M369" s="150">
        <f t="shared" si="30"/>
        <v>0</v>
      </c>
      <c r="N369" s="151">
        <f t="shared" si="31"/>
        <v>0</v>
      </c>
      <c r="O369" s="152">
        <f>+IF(OR($R369=Parametres!$G$2,$R369=Parametres!$G$3),J369,D369)</f>
        <v>0</v>
      </c>
      <c r="P369" s="1085">
        <f>+IF(OR($R369=Parametres!$G$2,$R369=Parametres!$G$3),K369,E369)</f>
        <v>0</v>
      </c>
      <c r="Q369" s="152">
        <f>+IF(OR($R369=Parametres!$G$2,$R369=Parametres!$G$3),L369,F369)</f>
        <v>0</v>
      </c>
      <c r="R369" s="151">
        <f t="shared" si="32"/>
        <v>0</v>
      </c>
      <c r="S369" s="150">
        <f t="shared" si="33"/>
        <v>0</v>
      </c>
      <c r="T369" s="151">
        <f t="shared" si="34"/>
        <v>0</v>
      </c>
      <c r="U369" s="153" t="e">
        <f>+VLOOKUP($M369,Data_Validation!$A:$D,1,0)</f>
        <v>#N/A</v>
      </c>
      <c r="V369" s="153" t="e">
        <f>+VLOOKUP($M369,Data_Validation!$A:$D,3,0)</f>
        <v>#N/A</v>
      </c>
      <c r="W369" s="153" t="e">
        <f>+VLOOKUP($M369,Data_Validation!$A:$D,4,0)</f>
        <v>#N/A</v>
      </c>
      <c r="X369" s="153" t="e">
        <f>+VLOOKUP($M369,Data_Validation!$A:$E,5,0)</f>
        <v>#N/A</v>
      </c>
      <c r="Y369" s="153" t="e">
        <f>+VLOOKUP($M369,Data_Validation!$A:$F,6,0)</f>
        <v>#N/A</v>
      </c>
    </row>
    <row r="370" spans="2:25" ht="15" customHeight="1">
      <c r="B370" s="1398"/>
      <c r="C370" s="1401"/>
      <c r="D370" s="1400"/>
      <c r="E370" s="1400"/>
      <c r="F370" s="1400"/>
      <c r="G370" s="1398"/>
      <c r="H370" s="1398"/>
      <c r="I370" s="928"/>
      <c r="J370" s="927"/>
      <c r="K370" s="927"/>
      <c r="L370" s="927"/>
      <c r="M370" s="150">
        <f t="shared" si="30"/>
        <v>0</v>
      </c>
      <c r="N370" s="151">
        <f t="shared" si="31"/>
        <v>0</v>
      </c>
      <c r="O370" s="152">
        <f>+IF(OR($R370=Parametres!$G$2,$R370=Parametres!$G$3),J370,D370)</f>
        <v>0</v>
      </c>
      <c r="P370" s="1085">
        <f>+IF(OR($R370=Parametres!$G$2,$R370=Parametres!$G$3),K370,E370)</f>
        <v>0</v>
      </c>
      <c r="Q370" s="152">
        <f>+IF(OR($R370=Parametres!$G$2,$R370=Parametres!$G$3),L370,F370)</f>
        <v>0</v>
      </c>
      <c r="R370" s="151">
        <f t="shared" si="32"/>
        <v>0</v>
      </c>
      <c r="S370" s="150">
        <f t="shared" si="33"/>
        <v>0</v>
      </c>
      <c r="T370" s="151">
        <f t="shared" si="34"/>
        <v>0</v>
      </c>
      <c r="U370" s="153" t="e">
        <f>+VLOOKUP($M370,Data_Validation!$A:$D,1,0)</f>
        <v>#N/A</v>
      </c>
      <c r="V370" s="153" t="e">
        <f>+VLOOKUP($M370,Data_Validation!$A:$D,3,0)</f>
        <v>#N/A</v>
      </c>
      <c r="W370" s="153" t="e">
        <f>+VLOOKUP($M370,Data_Validation!$A:$D,4,0)</f>
        <v>#N/A</v>
      </c>
      <c r="X370" s="153" t="e">
        <f>+VLOOKUP($M370,Data_Validation!$A:$E,5,0)</f>
        <v>#N/A</v>
      </c>
      <c r="Y370" s="153" t="e">
        <f>+VLOOKUP($M370,Data_Validation!$A:$F,6,0)</f>
        <v>#N/A</v>
      </c>
    </row>
    <row r="371" spans="2:25" ht="15" customHeight="1">
      <c r="B371" s="1398"/>
      <c r="C371" s="1401"/>
      <c r="D371" s="1400"/>
      <c r="E371" s="1400"/>
      <c r="F371" s="1400"/>
      <c r="G371" s="1398"/>
      <c r="H371" s="1398"/>
      <c r="I371" s="948"/>
      <c r="J371" s="951"/>
      <c r="K371" s="951"/>
      <c r="L371" s="951"/>
      <c r="M371" s="150">
        <f t="shared" si="30"/>
        <v>0</v>
      </c>
      <c r="N371" s="151">
        <f t="shared" si="31"/>
        <v>0</v>
      </c>
      <c r="O371" s="152">
        <f>+IF(OR($R371=Parametres!$G$2,$R371=Parametres!$G$3),J371,D371)</f>
        <v>0</v>
      </c>
      <c r="P371" s="1085">
        <f>+IF(OR($R371=Parametres!$G$2,$R371=Parametres!$G$3),K371,E371)</f>
        <v>0</v>
      </c>
      <c r="Q371" s="152">
        <f>+IF(OR($R371=Parametres!$G$2,$R371=Parametres!$G$3),L371,F371)</f>
        <v>0</v>
      </c>
      <c r="R371" s="151">
        <f t="shared" si="32"/>
        <v>0</v>
      </c>
      <c r="S371" s="150">
        <f t="shared" si="33"/>
        <v>0</v>
      </c>
      <c r="T371" s="151">
        <f t="shared" si="34"/>
        <v>0</v>
      </c>
      <c r="U371" s="153" t="e">
        <f>+VLOOKUP($M371,Data_Validation!$A:$D,1,0)</f>
        <v>#N/A</v>
      </c>
      <c r="V371" s="153" t="e">
        <f>+VLOOKUP($M371,Data_Validation!$A:$D,3,0)</f>
        <v>#N/A</v>
      </c>
      <c r="W371" s="153" t="e">
        <f>+VLOOKUP($M371,Data_Validation!$A:$D,4,0)</f>
        <v>#N/A</v>
      </c>
      <c r="X371" s="153" t="e">
        <f>+VLOOKUP($M371,Data_Validation!$A:$E,5,0)</f>
        <v>#N/A</v>
      </c>
      <c r="Y371" s="153" t="e">
        <f>+VLOOKUP($M371,Data_Validation!$A:$F,6,0)</f>
        <v>#N/A</v>
      </c>
    </row>
    <row r="372" spans="2:25" ht="15" customHeight="1">
      <c r="B372" s="1398"/>
      <c r="C372" s="1401"/>
      <c r="D372" s="1400"/>
      <c r="E372" s="1400"/>
      <c r="F372" s="1400"/>
      <c r="G372" s="1398"/>
      <c r="H372" s="1398"/>
      <c r="I372" s="948"/>
      <c r="J372" s="951"/>
      <c r="K372" s="951"/>
      <c r="L372" s="951"/>
      <c r="M372" s="150">
        <f t="shared" si="30"/>
        <v>0</v>
      </c>
      <c r="N372" s="151">
        <f t="shared" si="31"/>
        <v>0</v>
      </c>
      <c r="O372" s="152">
        <f>+IF(OR($R372=Parametres!$G$2,$R372=Parametres!$G$3),J372,D372)</f>
        <v>0</v>
      </c>
      <c r="P372" s="1085">
        <f>+IF(OR($R372=Parametres!$G$2,$R372=Parametres!$G$3),K372,E372)</f>
        <v>0</v>
      </c>
      <c r="Q372" s="152">
        <f>+IF(OR($R372=Parametres!$G$2,$R372=Parametres!$G$3),L372,F372)</f>
        <v>0</v>
      </c>
      <c r="R372" s="151">
        <f t="shared" si="32"/>
        <v>0</v>
      </c>
      <c r="S372" s="150">
        <f t="shared" si="33"/>
        <v>0</v>
      </c>
      <c r="T372" s="151">
        <f t="shared" si="34"/>
        <v>0</v>
      </c>
      <c r="U372" s="153" t="e">
        <f>+VLOOKUP($M372,Data_Validation!$A:$D,1,0)</f>
        <v>#N/A</v>
      </c>
      <c r="V372" s="153" t="e">
        <f>+VLOOKUP($M372,Data_Validation!$A:$D,3,0)</f>
        <v>#N/A</v>
      </c>
      <c r="W372" s="153" t="e">
        <f>+VLOOKUP($M372,Data_Validation!$A:$D,4,0)</f>
        <v>#N/A</v>
      </c>
      <c r="X372" s="153" t="e">
        <f>+VLOOKUP($M372,Data_Validation!$A:$E,5,0)</f>
        <v>#N/A</v>
      </c>
      <c r="Y372" s="153" t="e">
        <f>+VLOOKUP($M372,Data_Validation!$A:$F,6,0)</f>
        <v>#N/A</v>
      </c>
    </row>
    <row r="373" spans="2:25" ht="15" customHeight="1">
      <c r="B373" s="1398"/>
      <c r="C373" s="1401"/>
      <c r="D373" s="1400"/>
      <c r="E373" s="1400"/>
      <c r="F373" s="1400"/>
      <c r="G373" s="1398"/>
      <c r="H373" s="1398"/>
      <c r="I373" s="948"/>
      <c r="J373" s="949"/>
      <c r="K373" s="949"/>
      <c r="L373" s="949"/>
      <c r="M373" s="150">
        <f t="shared" si="30"/>
        <v>0</v>
      </c>
      <c r="N373" s="151">
        <f t="shared" si="31"/>
        <v>0</v>
      </c>
      <c r="O373" s="152">
        <f>+IF(OR($R373=Parametres!$G$2,$R373=Parametres!$G$3),J373,D373)</f>
        <v>0</v>
      </c>
      <c r="P373" s="1085">
        <f>+IF(OR($R373=Parametres!$G$2,$R373=Parametres!$G$3),K373,E373)</f>
        <v>0</v>
      </c>
      <c r="Q373" s="152">
        <f>+IF(OR($R373=Parametres!$G$2,$R373=Parametres!$G$3),L373,F373)</f>
        <v>0</v>
      </c>
      <c r="R373" s="151">
        <f t="shared" si="32"/>
        <v>0</v>
      </c>
      <c r="S373" s="150">
        <f t="shared" si="33"/>
        <v>0</v>
      </c>
      <c r="T373" s="151">
        <f t="shared" si="34"/>
        <v>0</v>
      </c>
      <c r="U373" s="153" t="e">
        <f>+VLOOKUP($M373,Data_Validation!$A:$D,1,0)</f>
        <v>#N/A</v>
      </c>
      <c r="V373" s="153" t="e">
        <f>+VLOOKUP($M373,Data_Validation!$A:$D,3,0)</f>
        <v>#N/A</v>
      </c>
      <c r="W373" s="153" t="e">
        <f>+VLOOKUP($M373,Data_Validation!$A:$D,4,0)</f>
        <v>#N/A</v>
      </c>
      <c r="X373" s="153" t="e">
        <f>+VLOOKUP($M373,Data_Validation!$A:$E,5,0)</f>
        <v>#N/A</v>
      </c>
      <c r="Y373" s="153" t="e">
        <f>+VLOOKUP($M373,Data_Validation!$A:$F,6,0)</f>
        <v>#N/A</v>
      </c>
    </row>
    <row r="374" spans="2:25" ht="15.75" customHeight="1">
      <c r="B374" s="1398"/>
      <c r="C374" s="1401"/>
      <c r="D374" s="1400"/>
      <c r="E374" s="1400"/>
      <c r="F374" s="1400"/>
      <c r="G374" s="1398"/>
      <c r="H374" s="1398"/>
      <c r="I374" s="928"/>
      <c r="J374" s="927"/>
      <c r="K374" s="927"/>
      <c r="L374" s="927"/>
      <c r="M374" s="150">
        <f t="shared" si="30"/>
        <v>0</v>
      </c>
      <c r="N374" s="151">
        <f t="shared" si="31"/>
        <v>0</v>
      </c>
      <c r="O374" s="152">
        <f>+IF(OR($R374=Parametres!$G$2,$R374=Parametres!$G$3),J374,D374)</f>
        <v>0</v>
      </c>
      <c r="P374" s="1085">
        <f>+IF(OR($R374=Parametres!$G$2,$R374=Parametres!$G$3),K374,E374)</f>
        <v>0</v>
      </c>
      <c r="Q374" s="152">
        <f>+IF(OR($R374=Parametres!$G$2,$R374=Parametres!$G$3),L374,F374)</f>
        <v>0</v>
      </c>
      <c r="R374" s="151">
        <f t="shared" si="32"/>
        <v>0</v>
      </c>
      <c r="S374" s="150">
        <f t="shared" si="33"/>
        <v>0</v>
      </c>
      <c r="T374" s="151">
        <f t="shared" si="34"/>
        <v>0</v>
      </c>
      <c r="U374" s="153" t="e">
        <f>+VLOOKUP($M374,Data_Validation!$A:$D,1,0)</f>
        <v>#N/A</v>
      </c>
      <c r="V374" s="153" t="e">
        <f>+VLOOKUP($M374,Data_Validation!$A:$D,3,0)</f>
        <v>#N/A</v>
      </c>
      <c r="W374" s="153" t="e">
        <f>+VLOOKUP($M374,Data_Validation!$A:$D,4,0)</f>
        <v>#N/A</v>
      </c>
      <c r="X374" s="153" t="e">
        <f>+VLOOKUP($M374,Data_Validation!$A:$E,5,0)</f>
        <v>#N/A</v>
      </c>
      <c r="Y374" s="153" t="e">
        <f>+VLOOKUP($M374,Data_Validation!$A:$F,6,0)</f>
        <v>#N/A</v>
      </c>
    </row>
    <row r="375" spans="2:25" ht="15" customHeight="1">
      <c r="B375" s="1398"/>
      <c r="C375" s="1401"/>
      <c r="D375" s="1400"/>
      <c r="E375" s="1400"/>
      <c r="F375" s="1400"/>
      <c r="G375" s="1398"/>
      <c r="H375" s="1398"/>
      <c r="I375" s="948"/>
      <c r="J375" s="949"/>
      <c r="K375" s="949"/>
      <c r="L375" s="949"/>
      <c r="M375" s="150">
        <f t="shared" si="30"/>
        <v>0</v>
      </c>
      <c r="N375" s="151">
        <f t="shared" si="31"/>
        <v>0</v>
      </c>
      <c r="O375" s="152">
        <f>+IF(OR($R375=Parametres!$G$2,$R375=Parametres!$G$3),J375,D375)</f>
        <v>0</v>
      </c>
      <c r="P375" s="1085">
        <f>+IF(OR($R375=Parametres!$G$2,$R375=Parametres!$G$3),K375,E375)</f>
        <v>0</v>
      </c>
      <c r="Q375" s="152">
        <f>+IF(OR($R375=Parametres!$G$2,$R375=Parametres!$G$3),L375,F375)</f>
        <v>0</v>
      </c>
      <c r="R375" s="151">
        <f t="shared" si="32"/>
        <v>0</v>
      </c>
      <c r="S375" s="150">
        <f t="shared" si="33"/>
        <v>0</v>
      </c>
      <c r="T375" s="151">
        <f t="shared" si="34"/>
        <v>0</v>
      </c>
      <c r="U375" s="153" t="e">
        <f>+VLOOKUP($M375,Data_Validation!$A:$D,1,0)</f>
        <v>#N/A</v>
      </c>
      <c r="V375" s="153" t="e">
        <f>+VLOOKUP($M375,Data_Validation!$A:$D,3,0)</f>
        <v>#N/A</v>
      </c>
      <c r="W375" s="153" t="e">
        <f>+VLOOKUP($M375,Data_Validation!$A:$D,4,0)</f>
        <v>#N/A</v>
      </c>
      <c r="X375" s="153" t="e">
        <f>+VLOOKUP($M375,Data_Validation!$A:$E,5,0)</f>
        <v>#N/A</v>
      </c>
      <c r="Y375" s="153" t="e">
        <f>+VLOOKUP($M375,Data_Validation!$A:$F,6,0)</f>
        <v>#N/A</v>
      </c>
    </row>
    <row r="376" spans="2:25" ht="15" customHeight="1">
      <c r="B376" s="1398"/>
      <c r="C376" s="1401"/>
      <c r="D376" s="1400"/>
      <c r="E376" s="1400"/>
      <c r="F376" s="1400"/>
      <c r="G376" s="1398"/>
      <c r="H376" s="1398"/>
      <c r="I376" s="948"/>
      <c r="J376" s="951"/>
      <c r="K376" s="951"/>
      <c r="L376" s="951"/>
      <c r="M376" s="150">
        <f t="shared" si="30"/>
        <v>0</v>
      </c>
      <c r="N376" s="151">
        <f t="shared" si="31"/>
        <v>0</v>
      </c>
      <c r="O376" s="152">
        <f>+IF(OR($R376=Parametres!$G$2,$R376=Parametres!$G$3),J376,D376)</f>
        <v>0</v>
      </c>
      <c r="P376" s="1085">
        <f>+IF(OR($R376=Parametres!$G$2,$R376=Parametres!$G$3),K376,E376)</f>
        <v>0</v>
      </c>
      <c r="Q376" s="152">
        <f>+IF(OR($R376=Parametres!$G$2,$R376=Parametres!$G$3),L376,F376)</f>
        <v>0</v>
      </c>
      <c r="R376" s="151">
        <f t="shared" si="32"/>
        <v>0</v>
      </c>
      <c r="S376" s="150">
        <f t="shared" si="33"/>
        <v>0</v>
      </c>
      <c r="T376" s="151">
        <f t="shared" si="34"/>
        <v>0</v>
      </c>
      <c r="U376" s="153" t="e">
        <f>+VLOOKUP($M376,Data_Validation!$A:$D,1,0)</f>
        <v>#N/A</v>
      </c>
      <c r="V376" s="153" t="e">
        <f>+VLOOKUP($M376,Data_Validation!$A:$D,3,0)</f>
        <v>#N/A</v>
      </c>
      <c r="W376" s="153" t="e">
        <f>+VLOOKUP($M376,Data_Validation!$A:$D,4,0)</f>
        <v>#N/A</v>
      </c>
      <c r="X376" s="153" t="e">
        <f>+VLOOKUP($M376,Data_Validation!$A:$E,5,0)</f>
        <v>#N/A</v>
      </c>
      <c r="Y376" s="153" t="e">
        <f>+VLOOKUP($M376,Data_Validation!$A:$F,6,0)</f>
        <v>#N/A</v>
      </c>
    </row>
    <row r="377" spans="2:25" ht="15" customHeight="1">
      <c r="B377" s="1398"/>
      <c r="C377" s="1401"/>
      <c r="D377" s="1400"/>
      <c r="E377" s="1400"/>
      <c r="F377" s="1400"/>
      <c r="G377" s="1398"/>
      <c r="H377" s="1398"/>
      <c r="I377" s="948"/>
      <c r="J377" s="951"/>
      <c r="K377" s="951"/>
      <c r="L377" s="951"/>
      <c r="M377" s="150">
        <f t="shared" si="30"/>
        <v>0</v>
      </c>
      <c r="N377" s="151">
        <f t="shared" si="31"/>
        <v>0</v>
      </c>
      <c r="O377" s="152">
        <f>+IF(OR($R377=Parametres!$G$2,$R377=Parametres!$G$3),J377,D377)</f>
        <v>0</v>
      </c>
      <c r="P377" s="1085">
        <f>+IF(OR($R377=Parametres!$G$2,$R377=Parametres!$G$3),K377,E377)</f>
        <v>0</v>
      </c>
      <c r="Q377" s="152">
        <f>+IF(OR($R377=Parametres!$G$2,$R377=Parametres!$G$3),L377,F377)</f>
        <v>0</v>
      </c>
      <c r="R377" s="151">
        <f t="shared" si="32"/>
        <v>0</v>
      </c>
      <c r="S377" s="150">
        <f t="shared" si="33"/>
        <v>0</v>
      </c>
      <c r="T377" s="151">
        <f t="shared" si="34"/>
        <v>0</v>
      </c>
      <c r="U377" s="153" t="e">
        <f>+VLOOKUP($M377,Data_Validation!$A:$D,1,0)</f>
        <v>#N/A</v>
      </c>
      <c r="V377" s="153" t="e">
        <f>+VLOOKUP($M377,Data_Validation!$A:$D,3,0)</f>
        <v>#N/A</v>
      </c>
      <c r="W377" s="153" t="e">
        <f>+VLOOKUP($M377,Data_Validation!$A:$D,4,0)</f>
        <v>#N/A</v>
      </c>
      <c r="X377" s="153" t="e">
        <f>+VLOOKUP($M377,Data_Validation!$A:$E,5,0)</f>
        <v>#N/A</v>
      </c>
      <c r="Y377" s="153" t="e">
        <f>+VLOOKUP($M377,Data_Validation!$A:$F,6,0)</f>
        <v>#N/A</v>
      </c>
    </row>
    <row r="378" spans="2:25" ht="15" customHeight="1">
      <c r="B378" s="1398"/>
      <c r="C378" s="1401"/>
      <c r="D378" s="1400"/>
      <c r="E378" s="1400"/>
      <c r="F378" s="1400"/>
      <c r="G378" s="1398"/>
      <c r="H378" s="1398"/>
      <c r="I378" s="948"/>
      <c r="J378" s="951"/>
      <c r="K378" s="951"/>
      <c r="L378" s="951"/>
      <c r="M378" s="150">
        <f t="shared" si="30"/>
        <v>0</v>
      </c>
      <c r="N378" s="151">
        <f t="shared" si="31"/>
        <v>0</v>
      </c>
      <c r="O378" s="152">
        <f>+IF(OR($R378=Parametres!$G$2,$R378=Parametres!$G$3),J378,D378)</f>
        <v>0</v>
      </c>
      <c r="P378" s="1085">
        <f>+IF(OR($R378=Parametres!$G$2,$R378=Parametres!$G$3),K378,E378)</f>
        <v>0</v>
      </c>
      <c r="Q378" s="152">
        <f>+IF(OR($R378=Parametres!$G$2,$R378=Parametres!$G$3),L378,F378)</f>
        <v>0</v>
      </c>
      <c r="R378" s="151">
        <f t="shared" si="32"/>
        <v>0</v>
      </c>
      <c r="S378" s="150">
        <f t="shared" si="33"/>
        <v>0</v>
      </c>
      <c r="T378" s="151">
        <f t="shared" si="34"/>
        <v>0</v>
      </c>
      <c r="U378" s="153" t="e">
        <f>+VLOOKUP($M378,Data_Validation!$A:$D,1,0)</f>
        <v>#N/A</v>
      </c>
      <c r="V378" s="153" t="e">
        <f>+VLOOKUP($M378,Data_Validation!$A:$D,3,0)</f>
        <v>#N/A</v>
      </c>
      <c r="W378" s="153" t="e">
        <f>+VLOOKUP($M378,Data_Validation!$A:$D,4,0)</f>
        <v>#N/A</v>
      </c>
      <c r="X378" s="153" t="e">
        <f>+VLOOKUP($M378,Data_Validation!$A:$E,5,0)</f>
        <v>#N/A</v>
      </c>
      <c r="Y378" s="153" t="e">
        <f>+VLOOKUP($M378,Data_Validation!$A:$F,6,0)</f>
        <v>#N/A</v>
      </c>
    </row>
    <row r="379" spans="2:25" ht="15.75" customHeight="1">
      <c r="B379" s="1398"/>
      <c r="C379" s="1401"/>
      <c r="D379" s="1400"/>
      <c r="E379" s="1400"/>
      <c r="F379" s="1400"/>
      <c r="G379" s="1398"/>
      <c r="H379" s="1398"/>
      <c r="I379" s="948"/>
      <c r="J379" s="949"/>
      <c r="K379" s="949"/>
      <c r="L379" s="949"/>
      <c r="M379" s="150">
        <f t="shared" si="30"/>
        <v>0</v>
      </c>
      <c r="N379" s="151">
        <f t="shared" si="31"/>
        <v>0</v>
      </c>
      <c r="O379" s="152">
        <f>+IF(OR($R379=Parametres!$G$2,$R379=Parametres!$G$3),J379,D379)</f>
        <v>0</v>
      </c>
      <c r="P379" s="1085">
        <f>+IF(OR($R379=Parametres!$G$2,$R379=Parametres!$G$3),K379,E379)</f>
        <v>0</v>
      </c>
      <c r="Q379" s="152">
        <f>+IF(OR($R379=Parametres!$G$2,$R379=Parametres!$G$3),L379,F379)</f>
        <v>0</v>
      </c>
      <c r="R379" s="151">
        <f t="shared" si="32"/>
        <v>0</v>
      </c>
      <c r="S379" s="150">
        <f t="shared" si="33"/>
        <v>0</v>
      </c>
      <c r="T379" s="151">
        <f t="shared" si="34"/>
        <v>0</v>
      </c>
      <c r="U379" s="153" t="e">
        <f>+VLOOKUP($M379,Data_Validation!$A:$D,1,0)</f>
        <v>#N/A</v>
      </c>
      <c r="V379" s="153" t="e">
        <f>+VLOOKUP($M379,Data_Validation!$A:$D,3,0)</f>
        <v>#N/A</v>
      </c>
      <c r="W379" s="153" t="e">
        <f>+VLOOKUP($M379,Data_Validation!$A:$D,4,0)</f>
        <v>#N/A</v>
      </c>
      <c r="X379" s="153" t="e">
        <f>+VLOOKUP($M379,Data_Validation!$A:$E,5,0)</f>
        <v>#N/A</v>
      </c>
      <c r="Y379" s="153" t="e">
        <f>+VLOOKUP($M379,Data_Validation!$A:$F,6,0)</f>
        <v>#N/A</v>
      </c>
    </row>
    <row r="380" spans="2:25" ht="15" customHeight="1">
      <c r="B380" s="1398"/>
      <c r="C380" s="1401"/>
      <c r="D380" s="1400"/>
      <c r="E380" s="1400"/>
      <c r="F380" s="1400"/>
      <c r="G380" s="1398"/>
      <c r="H380" s="1398"/>
      <c r="I380" s="948"/>
      <c r="J380" s="949"/>
      <c r="K380" s="949"/>
      <c r="L380" s="949"/>
      <c r="M380" s="150">
        <f t="shared" si="30"/>
        <v>0</v>
      </c>
      <c r="N380" s="151">
        <f t="shared" si="31"/>
        <v>0</v>
      </c>
      <c r="O380" s="152">
        <f>+IF(OR($R380=Parametres!$G$2,$R380=Parametres!$G$3),J380,D380)</f>
        <v>0</v>
      </c>
      <c r="P380" s="1083">
        <f>+IF(OR($R380=Parametres!$G$2,$R380=Parametres!$G$3),K380,E380)</f>
        <v>0</v>
      </c>
      <c r="Q380" s="152">
        <f>+IF(OR($R380=Parametres!$G$2,$R380=Parametres!$G$3),L380,F380)</f>
        <v>0</v>
      </c>
      <c r="R380" s="151">
        <f t="shared" si="32"/>
        <v>0</v>
      </c>
      <c r="S380" s="150">
        <f t="shared" si="33"/>
        <v>0</v>
      </c>
      <c r="T380" s="151">
        <f t="shared" si="34"/>
        <v>0</v>
      </c>
      <c r="U380" s="153" t="e">
        <f>+VLOOKUP($M380,Data_Validation!$A:$D,1,0)</f>
        <v>#N/A</v>
      </c>
      <c r="V380" s="153" t="e">
        <f>+VLOOKUP($M380,Data_Validation!$A:$D,3,0)</f>
        <v>#N/A</v>
      </c>
      <c r="W380" s="153" t="e">
        <f>+VLOOKUP($M380,Data_Validation!$A:$D,4,0)</f>
        <v>#N/A</v>
      </c>
      <c r="X380" s="153" t="e">
        <f>+VLOOKUP($M380,Data_Validation!$A:$E,5,0)</f>
        <v>#N/A</v>
      </c>
      <c r="Y380" s="153" t="e">
        <f>+VLOOKUP($M380,Data_Validation!$A:$F,6,0)</f>
        <v>#N/A</v>
      </c>
    </row>
    <row r="381" spans="2:25" ht="15" customHeight="1">
      <c r="B381" s="1398"/>
      <c r="C381" s="1401"/>
      <c r="D381" s="1400"/>
      <c r="E381" s="1400"/>
      <c r="F381" s="1400"/>
      <c r="G381" s="1398"/>
      <c r="H381" s="1398"/>
      <c r="I381" s="948"/>
      <c r="J381" s="951"/>
      <c r="K381" s="951"/>
      <c r="L381" s="951"/>
      <c r="M381" s="150">
        <f t="shared" si="30"/>
        <v>0</v>
      </c>
      <c r="N381" s="151">
        <f t="shared" si="31"/>
        <v>0</v>
      </c>
      <c r="O381" s="152">
        <f>+IF(OR($R381=Parametres!$G$2,$R381=Parametres!$G$3),J381,D381)</f>
        <v>0</v>
      </c>
      <c r="P381" s="1085">
        <f>+IF(OR($R381=Parametres!$G$2,$R381=Parametres!$G$3),K381,E381)</f>
        <v>0</v>
      </c>
      <c r="Q381" s="152">
        <f>+IF(OR($R381=Parametres!$G$2,$R381=Parametres!$G$3),L381,F381)</f>
        <v>0</v>
      </c>
      <c r="R381" s="151">
        <f t="shared" si="32"/>
        <v>0</v>
      </c>
      <c r="S381" s="150">
        <f t="shared" si="33"/>
        <v>0</v>
      </c>
      <c r="T381" s="151">
        <f t="shared" si="34"/>
        <v>0</v>
      </c>
      <c r="U381" s="153" t="e">
        <f>+VLOOKUP($M381,Data_Validation!$A:$D,1,0)</f>
        <v>#N/A</v>
      </c>
      <c r="V381" s="153" t="e">
        <f>+VLOOKUP($M381,Data_Validation!$A:$D,3,0)</f>
        <v>#N/A</v>
      </c>
      <c r="W381" s="153" t="e">
        <f>+VLOOKUP($M381,Data_Validation!$A:$D,4,0)</f>
        <v>#N/A</v>
      </c>
      <c r="X381" s="153" t="e">
        <f>+VLOOKUP($M381,Data_Validation!$A:$E,5,0)</f>
        <v>#N/A</v>
      </c>
      <c r="Y381" s="153" t="e">
        <f>+VLOOKUP($M381,Data_Validation!$A:$F,6,0)</f>
        <v>#N/A</v>
      </c>
    </row>
    <row r="382" spans="2:25" ht="15" customHeight="1">
      <c r="B382" s="1398"/>
      <c r="C382" s="1401"/>
      <c r="D382" s="1400"/>
      <c r="E382" s="1400"/>
      <c r="F382" s="1400"/>
      <c r="G382" s="1398"/>
      <c r="H382" s="1398"/>
      <c r="I382" s="948"/>
      <c r="J382" s="950"/>
      <c r="K382" s="950"/>
      <c r="L382" s="950"/>
      <c r="M382" s="150">
        <f t="shared" si="30"/>
        <v>0</v>
      </c>
      <c r="N382" s="151">
        <f t="shared" si="31"/>
        <v>0</v>
      </c>
      <c r="O382" s="152">
        <f>+IF(OR($R382=Parametres!$G$2,$R382=Parametres!$G$3),J382,D382)</f>
        <v>0</v>
      </c>
      <c r="P382" s="1085">
        <f>+IF(OR($R382=Parametres!$G$2,$R382=Parametres!$G$3),K382,E382)</f>
        <v>0</v>
      </c>
      <c r="Q382" s="152">
        <f>+IF(OR($R382=Parametres!$G$2,$R382=Parametres!$G$3),L382,F382)</f>
        <v>0</v>
      </c>
      <c r="R382" s="151">
        <f t="shared" si="32"/>
        <v>0</v>
      </c>
      <c r="S382" s="150">
        <f t="shared" si="33"/>
        <v>0</v>
      </c>
      <c r="T382" s="151">
        <f t="shared" si="34"/>
        <v>0</v>
      </c>
      <c r="U382" s="153" t="e">
        <f>+VLOOKUP($M382,Data_Validation!$A:$D,1,0)</f>
        <v>#N/A</v>
      </c>
      <c r="V382" s="153" t="e">
        <f>+VLOOKUP($M382,Data_Validation!$A:$D,3,0)</f>
        <v>#N/A</v>
      </c>
      <c r="W382" s="153" t="e">
        <f>+VLOOKUP($M382,Data_Validation!$A:$D,4,0)</f>
        <v>#N/A</v>
      </c>
      <c r="X382" s="153" t="e">
        <f>+VLOOKUP($M382,Data_Validation!$A:$E,5,0)</f>
        <v>#N/A</v>
      </c>
      <c r="Y382" s="153" t="e">
        <f>+VLOOKUP($M382,Data_Validation!$A:$F,6,0)</f>
        <v>#N/A</v>
      </c>
    </row>
    <row r="383" spans="2:25" ht="15.75" customHeight="1">
      <c r="B383" s="1398"/>
      <c r="C383" s="1401"/>
      <c r="D383" s="1400"/>
      <c r="E383" s="1400"/>
      <c r="F383" s="1400"/>
      <c r="G383" s="1398"/>
      <c r="H383" s="1398"/>
      <c r="I383" s="948"/>
      <c r="J383" s="949"/>
      <c r="K383" s="949"/>
      <c r="L383" s="949"/>
      <c r="M383" s="150">
        <f t="shared" si="30"/>
        <v>0</v>
      </c>
      <c r="N383" s="151">
        <f t="shared" si="31"/>
        <v>0</v>
      </c>
      <c r="O383" s="152">
        <f>+IF(OR($R383=Parametres!$G$2,$R383=Parametres!$G$3),J383,D383)</f>
        <v>0</v>
      </c>
      <c r="P383" s="1085">
        <f>+IF(OR($R383=Parametres!$G$2,$R383=Parametres!$G$3),K383,E383)</f>
        <v>0</v>
      </c>
      <c r="Q383" s="152">
        <f>+IF(OR($R383=Parametres!$G$2,$R383=Parametres!$G$3),L383,F383)</f>
        <v>0</v>
      </c>
      <c r="R383" s="151">
        <f t="shared" si="32"/>
        <v>0</v>
      </c>
      <c r="S383" s="150">
        <f t="shared" si="33"/>
        <v>0</v>
      </c>
      <c r="T383" s="151">
        <f t="shared" si="34"/>
        <v>0</v>
      </c>
      <c r="U383" s="153" t="e">
        <f>+VLOOKUP($M383,Data_Validation!$A:$D,1,0)</f>
        <v>#N/A</v>
      </c>
      <c r="V383" s="153" t="e">
        <f>+VLOOKUP($M383,Data_Validation!$A:$D,3,0)</f>
        <v>#N/A</v>
      </c>
      <c r="W383" s="153" t="e">
        <f>+VLOOKUP($M383,Data_Validation!$A:$D,4,0)</f>
        <v>#N/A</v>
      </c>
      <c r="X383" s="153" t="e">
        <f>+VLOOKUP($M383,Data_Validation!$A:$E,5,0)</f>
        <v>#N/A</v>
      </c>
      <c r="Y383" s="153" t="e">
        <f>+VLOOKUP($M383,Data_Validation!$A:$F,6,0)</f>
        <v>#N/A</v>
      </c>
    </row>
    <row r="384" spans="2:25" ht="15" customHeight="1">
      <c r="B384" s="1398"/>
      <c r="C384" s="1401"/>
      <c r="D384" s="1400"/>
      <c r="E384" s="1400"/>
      <c r="F384" s="1400"/>
      <c r="G384" s="1398"/>
      <c r="H384" s="1398"/>
      <c r="I384" s="948"/>
      <c r="J384" s="951"/>
      <c r="K384" s="951"/>
      <c r="L384" s="951"/>
      <c r="M384" s="150">
        <f t="shared" si="30"/>
        <v>0</v>
      </c>
      <c r="N384" s="151">
        <f t="shared" si="31"/>
        <v>0</v>
      </c>
      <c r="O384" s="152">
        <f>+IF(OR($R384=Parametres!$G$2,$R384=Parametres!$G$3),J384,D384)</f>
        <v>0</v>
      </c>
      <c r="P384" s="1085">
        <f>+IF(OR($R384=Parametres!$G$2,$R384=Parametres!$G$3),K384,E384)</f>
        <v>0</v>
      </c>
      <c r="Q384" s="152">
        <f>+IF(OR($R384=Parametres!$G$2,$R384=Parametres!$G$3),L384,F384)</f>
        <v>0</v>
      </c>
      <c r="R384" s="151">
        <f t="shared" si="32"/>
        <v>0</v>
      </c>
      <c r="S384" s="150">
        <f t="shared" si="33"/>
        <v>0</v>
      </c>
      <c r="T384" s="151">
        <f t="shared" si="34"/>
        <v>0</v>
      </c>
      <c r="U384" s="153" t="e">
        <f>+VLOOKUP($M384,Data_Validation!$A:$D,1,0)</f>
        <v>#N/A</v>
      </c>
      <c r="V384" s="153" t="e">
        <f>+VLOOKUP($M384,Data_Validation!$A:$D,3,0)</f>
        <v>#N/A</v>
      </c>
      <c r="W384" s="153" t="e">
        <f>+VLOOKUP($M384,Data_Validation!$A:$D,4,0)</f>
        <v>#N/A</v>
      </c>
      <c r="X384" s="153" t="e">
        <f>+VLOOKUP($M384,Data_Validation!$A:$E,5,0)</f>
        <v>#N/A</v>
      </c>
      <c r="Y384" s="153" t="e">
        <f>+VLOOKUP($M384,Data_Validation!$A:$F,6,0)</f>
        <v>#N/A</v>
      </c>
    </row>
    <row r="385" spans="2:25" ht="15" customHeight="1">
      <c r="B385" s="1398"/>
      <c r="C385" s="1401"/>
      <c r="D385" s="1400"/>
      <c r="E385" s="1400"/>
      <c r="F385" s="1400"/>
      <c r="G385" s="1398"/>
      <c r="H385" s="1398"/>
      <c r="I385" s="948"/>
      <c r="J385" s="951"/>
      <c r="K385" s="951"/>
      <c r="L385" s="951"/>
      <c r="M385" s="150">
        <f t="shared" si="30"/>
        <v>0</v>
      </c>
      <c r="N385" s="151">
        <f t="shared" si="31"/>
        <v>0</v>
      </c>
      <c r="O385" s="152">
        <f>+IF(OR($R385=Parametres!$G$2,$R385=Parametres!$G$3),J385,D385)</f>
        <v>0</v>
      </c>
      <c r="P385" s="1085">
        <f>+IF(OR($R385=Parametres!$G$2,$R385=Parametres!$G$3),K385,E385)</f>
        <v>0</v>
      </c>
      <c r="Q385" s="152">
        <f>+IF(OR($R385=Parametres!$G$2,$R385=Parametres!$G$3),L385,F385)</f>
        <v>0</v>
      </c>
      <c r="R385" s="151">
        <f t="shared" si="32"/>
        <v>0</v>
      </c>
      <c r="S385" s="150">
        <f t="shared" si="33"/>
        <v>0</v>
      </c>
      <c r="T385" s="151">
        <f t="shared" si="34"/>
        <v>0</v>
      </c>
      <c r="U385" s="153" t="e">
        <f>+VLOOKUP($M385,Data_Validation!$A:$D,1,0)</f>
        <v>#N/A</v>
      </c>
      <c r="V385" s="153" t="e">
        <f>+VLOOKUP($M385,Data_Validation!$A:$D,3,0)</f>
        <v>#N/A</v>
      </c>
      <c r="W385" s="153" t="e">
        <f>+VLOOKUP($M385,Data_Validation!$A:$D,4,0)</f>
        <v>#N/A</v>
      </c>
      <c r="X385" s="153" t="e">
        <f>+VLOOKUP($M385,Data_Validation!$A:$E,5,0)</f>
        <v>#N/A</v>
      </c>
      <c r="Y385" s="153" t="e">
        <f>+VLOOKUP($M385,Data_Validation!$A:$F,6,0)</f>
        <v>#N/A</v>
      </c>
    </row>
    <row r="386" spans="2:25" ht="15" customHeight="1">
      <c r="B386" s="1398"/>
      <c r="C386" s="1401"/>
      <c r="D386" s="1400"/>
      <c r="E386" s="1400"/>
      <c r="F386" s="1400"/>
      <c r="G386" s="1398"/>
      <c r="H386" s="1398"/>
      <c r="I386" s="948"/>
      <c r="J386" s="950"/>
      <c r="K386" s="950"/>
      <c r="L386" s="950"/>
      <c r="M386" s="150">
        <f t="shared" si="30"/>
        <v>0</v>
      </c>
      <c r="N386" s="151">
        <f t="shared" si="31"/>
        <v>0</v>
      </c>
      <c r="O386" s="152">
        <f>+IF(OR($R386=Parametres!$G$2,$R386=Parametres!$G$3),J386,D386)</f>
        <v>0</v>
      </c>
      <c r="P386" s="1085">
        <f>+IF(OR($R386=Parametres!$G$2,$R386=Parametres!$G$3),K386,E386)</f>
        <v>0</v>
      </c>
      <c r="Q386" s="152">
        <f>+IF(OR($R386=Parametres!$G$2,$R386=Parametres!$G$3),L386,F386)</f>
        <v>0</v>
      </c>
      <c r="R386" s="151">
        <f t="shared" si="32"/>
        <v>0</v>
      </c>
      <c r="S386" s="150">
        <f t="shared" si="33"/>
        <v>0</v>
      </c>
      <c r="T386" s="151">
        <f t="shared" si="34"/>
        <v>0</v>
      </c>
      <c r="U386" s="153" t="e">
        <f>+VLOOKUP($M386,Data_Validation!$A:$D,1,0)</f>
        <v>#N/A</v>
      </c>
      <c r="V386" s="153" t="e">
        <f>+VLOOKUP($M386,Data_Validation!$A:$D,3,0)</f>
        <v>#N/A</v>
      </c>
      <c r="W386" s="153" t="e">
        <f>+VLOOKUP($M386,Data_Validation!$A:$D,4,0)</f>
        <v>#N/A</v>
      </c>
      <c r="X386" s="153" t="e">
        <f>+VLOOKUP($M386,Data_Validation!$A:$E,5,0)</f>
        <v>#N/A</v>
      </c>
      <c r="Y386" s="153" t="e">
        <f>+VLOOKUP($M386,Data_Validation!$A:$F,6,0)</f>
        <v>#N/A</v>
      </c>
    </row>
    <row r="387" spans="2:25" ht="15.75" customHeight="1">
      <c r="B387" s="1398"/>
      <c r="C387" s="1401"/>
      <c r="D387" s="1400"/>
      <c r="E387" s="1400"/>
      <c r="F387" s="1400"/>
      <c r="G387" s="1398"/>
      <c r="H387" s="1398"/>
      <c r="I387" s="948"/>
      <c r="J387" s="951"/>
      <c r="K387" s="951"/>
      <c r="L387" s="951"/>
      <c r="M387" s="150">
        <f t="shared" si="30"/>
        <v>0</v>
      </c>
      <c r="N387" s="151">
        <f t="shared" si="31"/>
        <v>0</v>
      </c>
      <c r="O387" s="152">
        <f>+IF(OR($R387=Parametres!$G$2,$R387=Parametres!$G$3),J387,D387)</f>
        <v>0</v>
      </c>
      <c r="P387" s="1085">
        <f>+IF(OR($R387=Parametres!$G$2,$R387=Parametres!$G$3),K387,E387)</f>
        <v>0</v>
      </c>
      <c r="Q387" s="152">
        <f>+IF(OR($R387=Parametres!$G$2,$R387=Parametres!$G$3),L387,F387)</f>
        <v>0</v>
      </c>
      <c r="R387" s="151">
        <f t="shared" si="32"/>
        <v>0</v>
      </c>
      <c r="S387" s="150">
        <f t="shared" si="33"/>
        <v>0</v>
      </c>
      <c r="T387" s="151">
        <f t="shared" si="34"/>
        <v>0</v>
      </c>
      <c r="U387" s="153" t="e">
        <f>+VLOOKUP($M387,Data_Validation!$A:$D,1,0)</f>
        <v>#N/A</v>
      </c>
      <c r="V387" s="153" t="e">
        <f>+VLOOKUP($M387,Data_Validation!$A:$D,3,0)</f>
        <v>#N/A</v>
      </c>
      <c r="W387" s="153" t="e">
        <f>+VLOOKUP($M387,Data_Validation!$A:$D,4,0)</f>
        <v>#N/A</v>
      </c>
      <c r="X387" s="153" t="e">
        <f>+VLOOKUP($M387,Data_Validation!$A:$E,5,0)</f>
        <v>#N/A</v>
      </c>
      <c r="Y387" s="153" t="e">
        <f>+VLOOKUP($M387,Data_Validation!$A:$F,6,0)</f>
        <v>#N/A</v>
      </c>
    </row>
    <row r="388" spans="2:25" ht="15" customHeight="1">
      <c r="B388" s="1398"/>
      <c r="C388" s="1401"/>
      <c r="D388" s="1400"/>
      <c r="E388" s="1400"/>
      <c r="F388" s="1400"/>
      <c r="G388" s="1398"/>
      <c r="H388" s="1398"/>
      <c r="I388" s="948"/>
      <c r="J388" s="950"/>
      <c r="K388" s="950"/>
      <c r="L388" s="950"/>
      <c r="M388" s="150">
        <f t="shared" si="30"/>
        <v>0</v>
      </c>
      <c r="N388" s="151">
        <f t="shared" si="31"/>
        <v>0</v>
      </c>
      <c r="O388" s="152">
        <f>+IF(OR($R388=Parametres!$G$2,$R388=Parametres!$G$3),J388,D388)</f>
        <v>0</v>
      </c>
      <c r="P388" s="1085">
        <f>+IF(OR($R388=Parametres!$G$2,$R388=Parametres!$G$3),K388,E388)</f>
        <v>0</v>
      </c>
      <c r="Q388" s="152">
        <f>+IF(OR($R388=Parametres!$G$2,$R388=Parametres!$G$3),L388,F388)</f>
        <v>0</v>
      </c>
      <c r="R388" s="151">
        <f t="shared" si="32"/>
        <v>0</v>
      </c>
      <c r="S388" s="150">
        <f t="shared" si="33"/>
        <v>0</v>
      </c>
      <c r="T388" s="151">
        <f t="shared" si="34"/>
        <v>0</v>
      </c>
      <c r="U388" s="153" t="e">
        <f>+VLOOKUP($M388,Data_Validation!$A:$D,1,0)</f>
        <v>#N/A</v>
      </c>
      <c r="V388" s="153" t="e">
        <f>+VLOOKUP($M388,Data_Validation!$A:$D,3,0)</f>
        <v>#N/A</v>
      </c>
      <c r="W388" s="153" t="e">
        <f>+VLOOKUP($M388,Data_Validation!$A:$D,4,0)</f>
        <v>#N/A</v>
      </c>
      <c r="X388" s="153" t="e">
        <f>+VLOOKUP($M388,Data_Validation!$A:$E,5,0)</f>
        <v>#N/A</v>
      </c>
      <c r="Y388" s="153" t="e">
        <f>+VLOOKUP($M388,Data_Validation!$A:$F,6,0)</f>
        <v>#N/A</v>
      </c>
    </row>
    <row r="389" spans="2:25" ht="15" customHeight="1">
      <c r="B389" s="1398"/>
      <c r="C389" s="1401"/>
      <c r="D389" s="1400"/>
      <c r="E389" s="1400"/>
      <c r="F389" s="1400"/>
      <c r="G389" s="1398"/>
      <c r="H389" s="1398"/>
      <c r="I389" s="948"/>
      <c r="J389" s="950"/>
      <c r="K389" s="950"/>
      <c r="L389" s="950"/>
      <c r="M389" s="150">
        <f t="shared" si="30"/>
        <v>0</v>
      </c>
      <c r="N389" s="151">
        <f t="shared" si="31"/>
        <v>0</v>
      </c>
      <c r="O389" s="152">
        <f>+IF(OR($R389=Parametres!$G$2,$R389=Parametres!$G$3),J389,D389)</f>
        <v>0</v>
      </c>
      <c r="P389" s="1085">
        <f>+IF(OR($R389=Parametres!$G$2,$R389=Parametres!$G$3),K389,E389)</f>
        <v>0</v>
      </c>
      <c r="Q389" s="152">
        <f>+IF(OR($R389=Parametres!$G$2,$R389=Parametres!$G$3),L389,F389)</f>
        <v>0</v>
      </c>
      <c r="R389" s="151">
        <f t="shared" si="32"/>
        <v>0</v>
      </c>
      <c r="S389" s="150">
        <f t="shared" si="33"/>
        <v>0</v>
      </c>
      <c r="T389" s="151">
        <f t="shared" si="34"/>
        <v>0</v>
      </c>
      <c r="U389" s="153" t="e">
        <f>+VLOOKUP($M389,Data_Validation!$A:$D,1,0)</f>
        <v>#N/A</v>
      </c>
      <c r="V389" s="153" t="e">
        <f>+VLOOKUP($M389,Data_Validation!$A:$D,3,0)</f>
        <v>#N/A</v>
      </c>
      <c r="W389" s="153" t="e">
        <f>+VLOOKUP($M389,Data_Validation!$A:$D,4,0)</f>
        <v>#N/A</v>
      </c>
      <c r="X389" s="153" t="e">
        <f>+VLOOKUP($M389,Data_Validation!$A:$E,5,0)</f>
        <v>#N/A</v>
      </c>
      <c r="Y389" s="153" t="e">
        <f>+VLOOKUP($M389,Data_Validation!$A:$F,6,0)</f>
        <v>#N/A</v>
      </c>
    </row>
    <row r="390" spans="2:25" ht="15" customHeight="1">
      <c r="B390" s="1398"/>
      <c r="C390" s="1401"/>
      <c r="D390" s="1400"/>
      <c r="E390" s="1400"/>
      <c r="F390" s="1400"/>
      <c r="G390" s="1398"/>
      <c r="H390" s="1398"/>
      <c r="I390" s="928"/>
      <c r="J390" s="927"/>
      <c r="K390" s="927"/>
      <c r="L390" s="927"/>
      <c r="M390" s="150">
        <f t="shared" si="30"/>
        <v>0</v>
      </c>
      <c r="N390" s="151">
        <f t="shared" si="31"/>
        <v>0</v>
      </c>
      <c r="O390" s="152">
        <f>+IF(OR($R390=Parametres!$G$2,$R390=Parametres!$G$3),J390,D390)</f>
        <v>0</v>
      </c>
      <c r="P390" s="1085">
        <f>+IF(OR($R390=Parametres!$G$2,$R390=Parametres!$G$3),K390,E390)</f>
        <v>0</v>
      </c>
      <c r="Q390" s="152">
        <f>+IF(OR($R390=Parametres!$G$2,$R390=Parametres!$G$3),L390,F390)</f>
        <v>0</v>
      </c>
      <c r="R390" s="151">
        <f t="shared" si="32"/>
        <v>0</v>
      </c>
      <c r="S390" s="150">
        <f t="shared" si="33"/>
        <v>0</v>
      </c>
      <c r="T390" s="151">
        <f t="shared" si="34"/>
        <v>0</v>
      </c>
      <c r="U390" s="153" t="e">
        <f>+VLOOKUP($M390,Data_Validation!$A:$D,1,0)</f>
        <v>#N/A</v>
      </c>
      <c r="V390" s="153" t="e">
        <f>+VLOOKUP($M390,Data_Validation!$A:$D,3,0)</f>
        <v>#N/A</v>
      </c>
      <c r="W390" s="153" t="e">
        <f>+VLOOKUP($M390,Data_Validation!$A:$D,4,0)</f>
        <v>#N/A</v>
      </c>
      <c r="X390" s="153" t="e">
        <f>+VLOOKUP($M390,Data_Validation!$A:$E,5,0)</f>
        <v>#N/A</v>
      </c>
      <c r="Y390" s="153" t="e">
        <f>+VLOOKUP($M390,Data_Validation!$A:$F,6,0)</f>
        <v>#N/A</v>
      </c>
    </row>
    <row r="391" spans="2:25" ht="15.75" customHeight="1">
      <c r="B391" s="1398"/>
      <c r="C391" s="1401"/>
      <c r="D391" s="1400"/>
      <c r="E391" s="1400"/>
      <c r="F391" s="1400"/>
      <c r="G391" s="1398"/>
      <c r="H391" s="1398"/>
      <c r="I391" s="948"/>
      <c r="J391" s="951"/>
      <c r="K391" s="951"/>
      <c r="L391" s="951"/>
      <c r="M391" s="150">
        <f t="shared" si="30"/>
        <v>0</v>
      </c>
      <c r="N391" s="151">
        <f t="shared" si="31"/>
        <v>0</v>
      </c>
      <c r="O391" s="152">
        <f>+IF(OR($R391=Parametres!$G$2,$R391=Parametres!$G$3),J391,D391)</f>
        <v>0</v>
      </c>
      <c r="P391" s="1085">
        <f>+IF(OR($R391=Parametres!$G$2,$R391=Parametres!$G$3),K391,E391)</f>
        <v>0</v>
      </c>
      <c r="Q391" s="152">
        <f>+IF(OR($R391=Parametres!$G$2,$R391=Parametres!$G$3),L391,F391)</f>
        <v>0</v>
      </c>
      <c r="R391" s="151">
        <f t="shared" si="32"/>
        <v>0</v>
      </c>
      <c r="S391" s="150">
        <f t="shared" si="33"/>
        <v>0</v>
      </c>
      <c r="T391" s="151">
        <f t="shared" si="34"/>
        <v>0</v>
      </c>
      <c r="U391" s="153" t="e">
        <f>+VLOOKUP($M391,Data_Validation!$A:$D,1,0)</f>
        <v>#N/A</v>
      </c>
      <c r="V391" s="153" t="e">
        <f>+VLOOKUP($M391,Data_Validation!$A:$D,3,0)</f>
        <v>#N/A</v>
      </c>
      <c r="W391" s="153" t="e">
        <f>+VLOOKUP($M391,Data_Validation!$A:$D,4,0)</f>
        <v>#N/A</v>
      </c>
      <c r="X391" s="153" t="e">
        <f>+VLOOKUP($M391,Data_Validation!$A:$E,5,0)</f>
        <v>#N/A</v>
      </c>
      <c r="Y391" s="153" t="e">
        <f>+VLOOKUP($M391,Data_Validation!$A:$F,6,0)</f>
        <v>#N/A</v>
      </c>
    </row>
    <row r="392" spans="2:25" ht="15" customHeight="1">
      <c r="B392" s="1398"/>
      <c r="C392" s="1401"/>
      <c r="D392" s="1400"/>
      <c r="E392" s="1400"/>
      <c r="F392" s="1400"/>
      <c r="G392" s="1398"/>
      <c r="H392" s="1398"/>
      <c r="I392" s="948"/>
      <c r="J392" s="949"/>
      <c r="K392" s="949"/>
      <c r="L392" s="949"/>
      <c r="M392" s="150">
        <f t="shared" si="30"/>
        <v>0</v>
      </c>
      <c r="N392" s="151">
        <f t="shared" si="31"/>
        <v>0</v>
      </c>
      <c r="O392" s="152">
        <f>+IF(OR($R392=Parametres!$G$2,$R392=Parametres!$G$3),J392,D392)</f>
        <v>0</v>
      </c>
      <c r="P392" s="1085">
        <f>+IF(OR($R392=Parametres!$G$2,$R392=Parametres!$G$3),K392,E392)</f>
        <v>0</v>
      </c>
      <c r="Q392" s="152">
        <f>+IF(OR($R392=Parametres!$G$2,$R392=Parametres!$G$3),L392,F392)</f>
        <v>0</v>
      </c>
      <c r="R392" s="151">
        <f t="shared" si="32"/>
        <v>0</v>
      </c>
      <c r="S392" s="150">
        <f t="shared" si="33"/>
        <v>0</v>
      </c>
      <c r="T392" s="151">
        <f t="shared" si="34"/>
        <v>0</v>
      </c>
      <c r="U392" s="153" t="e">
        <f>+VLOOKUP($M392,Data_Validation!$A:$D,1,0)</f>
        <v>#N/A</v>
      </c>
      <c r="V392" s="153" t="e">
        <f>+VLOOKUP($M392,Data_Validation!$A:$D,3,0)</f>
        <v>#N/A</v>
      </c>
      <c r="W392" s="153" t="e">
        <f>+VLOOKUP($M392,Data_Validation!$A:$D,4,0)</f>
        <v>#N/A</v>
      </c>
      <c r="X392" s="153" t="e">
        <f>+VLOOKUP($M392,Data_Validation!$A:$E,5,0)</f>
        <v>#N/A</v>
      </c>
      <c r="Y392" s="153" t="e">
        <f>+VLOOKUP($M392,Data_Validation!$A:$F,6,0)</f>
        <v>#N/A</v>
      </c>
    </row>
    <row r="393" spans="2:25" ht="15" customHeight="1">
      <c r="B393" s="1398"/>
      <c r="C393" s="1401"/>
      <c r="D393" s="1400"/>
      <c r="E393" s="1400"/>
      <c r="F393" s="1400"/>
      <c r="G393" s="1398"/>
      <c r="H393" s="1398"/>
      <c r="I393" s="948"/>
      <c r="J393" s="951"/>
      <c r="K393" s="951"/>
      <c r="L393" s="951"/>
      <c r="M393" s="150">
        <f t="shared" ref="M393:M438" si="35">+C393</f>
        <v>0</v>
      </c>
      <c r="N393" s="151">
        <f t="shared" ref="N393:N438" si="36">+B393</f>
        <v>0</v>
      </c>
      <c r="O393" s="152">
        <f>+IF(OR($R393=Parametres!$G$2,$R393=Parametres!$G$3),J393,D393)</f>
        <v>0</v>
      </c>
      <c r="P393" s="1085">
        <f>+IF(OR($R393=Parametres!$G$2,$R393=Parametres!$G$3),K393,E393)</f>
        <v>0</v>
      </c>
      <c r="Q393" s="152">
        <f>+IF(OR($R393=Parametres!$G$2,$R393=Parametres!$G$3),L393,F393)</f>
        <v>0</v>
      </c>
      <c r="R393" s="151">
        <f t="shared" ref="R393:R438" si="37">+G393</f>
        <v>0</v>
      </c>
      <c r="S393" s="150">
        <f t="shared" ref="S393:S438" si="38">+H393</f>
        <v>0</v>
      </c>
      <c r="T393" s="151">
        <f t="shared" ref="T393:T438" si="39">+I393</f>
        <v>0</v>
      </c>
      <c r="U393" s="153" t="e">
        <f>+VLOOKUP($M393,Data_Validation!$A:$D,1,0)</f>
        <v>#N/A</v>
      </c>
      <c r="V393" s="153" t="e">
        <f>+VLOOKUP($M393,Data_Validation!$A:$D,3,0)</f>
        <v>#N/A</v>
      </c>
      <c r="W393" s="153" t="e">
        <f>+VLOOKUP($M393,Data_Validation!$A:$D,4,0)</f>
        <v>#N/A</v>
      </c>
      <c r="X393" s="153" t="e">
        <f>+VLOOKUP($M393,Data_Validation!$A:$E,5,0)</f>
        <v>#N/A</v>
      </c>
      <c r="Y393" s="153" t="e">
        <f>+VLOOKUP($M393,Data_Validation!$A:$F,6,0)</f>
        <v>#N/A</v>
      </c>
    </row>
    <row r="394" spans="2:25" ht="15" customHeight="1">
      <c r="B394" s="1398"/>
      <c r="C394" s="1401"/>
      <c r="D394" s="1400"/>
      <c r="E394" s="1400"/>
      <c r="F394" s="1400"/>
      <c r="G394" s="1398"/>
      <c r="H394" s="1398"/>
      <c r="I394" s="948"/>
      <c r="J394" s="949"/>
      <c r="K394" s="949"/>
      <c r="L394" s="949"/>
      <c r="M394" s="150">
        <f t="shared" si="35"/>
        <v>0</v>
      </c>
      <c r="N394" s="151">
        <f t="shared" si="36"/>
        <v>0</v>
      </c>
      <c r="O394" s="152">
        <f>+IF(OR($R394=Parametres!$G$2,$R394=Parametres!$G$3),J394,D394)</f>
        <v>0</v>
      </c>
      <c r="P394" s="1085">
        <f>+IF(OR($R394=Parametres!$G$2,$R394=Parametres!$G$3),K394,E394)</f>
        <v>0</v>
      </c>
      <c r="Q394" s="152">
        <f>+IF(OR($R394=Parametres!$G$2,$R394=Parametres!$G$3),L394,F394)</f>
        <v>0</v>
      </c>
      <c r="R394" s="151">
        <f t="shared" si="37"/>
        <v>0</v>
      </c>
      <c r="S394" s="150">
        <f t="shared" si="38"/>
        <v>0</v>
      </c>
      <c r="T394" s="151">
        <f t="shared" si="39"/>
        <v>0</v>
      </c>
      <c r="U394" s="153" t="e">
        <f>+VLOOKUP($M394,Data_Validation!$A:$D,1,0)</f>
        <v>#N/A</v>
      </c>
      <c r="V394" s="153" t="e">
        <f>+VLOOKUP($M394,Data_Validation!$A:$D,3,0)</f>
        <v>#N/A</v>
      </c>
      <c r="W394" s="153" t="e">
        <f>+VLOOKUP($M394,Data_Validation!$A:$D,4,0)</f>
        <v>#N/A</v>
      </c>
      <c r="X394" s="153" t="e">
        <f>+VLOOKUP($M394,Data_Validation!$A:$E,5,0)</f>
        <v>#N/A</v>
      </c>
      <c r="Y394" s="153" t="e">
        <f>+VLOOKUP($M394,Data_Validation!$A:$F,6,0)</f>
        <v>#N/A</v>
      </c>
    </row>
    <row r="395" spans="2:25" ht="15.75" customHeight="1">
      <c r="B395" s="1398"/>
      <c r="C395" s="1401"/>
      <c r="D395" s="1400"/>
      <c r="E395" s="1400"/>
      <c r="F395" s="1400"/>
      <c r="G395" s="1398"/>
      <c r="H395" s="1398"/>
      <c r="I395" s="948"/>
      <c r="J395" s="951"/>
      <c r="K395" s="951"/>
      <c r="L395" s="951"/>
      <c r="M395" s="150">
        <f t="shared" si="35"/>
        <v>0</v>
      </c>
      <c r="N395" s="151">
        <f t="shared" si="36"/>
        <v>0</v>
      </c>
      <c r="O395" s="152">
        <f>+IF(OR($R395=Parametres!$G$2,$R395=Parametres!$G$3),J395,D395)</f>
        <v>0</v>
      </c>
      <c r="P395" s="1085">
        <f>+IF(OR($R395=Parametres!$G$2,$R395=Parametres!$G$3),K395,E395)</f>
        <v>0</v>
      </c>
      <c r="Q395" s="152">
        <f>+IF(OR($R395=Parametres!$G$2,$R395=Parametres!$G$3),L395,F395)</f>
        <v>0</v>
      </c>
      <c r="R395" s="151">
        <f t="shared" si="37"/>
        <v>0</v>
      </c>
      <c r="S395" s="150">
        <f t="shared" si="38"/>
        <v>0</v>
      </c>
      <c r="T395" s="151">
        <f t="shared" si="39"/>
        <v>0</v>
      </c>
      <c r="U395" s="153" t="e">
        <f>+VLOOKUP($M395,Data_Validation!$A:$D,1,0)</f>
        <v>#N/A</v>
      </c>
      <c r="V395" s="153" t="e">
        <f>+VLOOKUP($M395,Data_Validation!$A:$D,3,0)</f>
        <v>#N/A</v>
      </c>
      <c r="W395" s="153" t="e">
        <f>+VLOOKUP($M395,Data_Validation!$A:$D,4,0)</f>
        <v>#N/A</v>
      </c>
      <c r="X395" s="153" t="e">
        <f>+VLOOKUP($M395,Data_Validation!$A:$E,5,0)</f>
        <v>#N/A</v>
      </c>
      <c r="Y395" s="153" t="e">
        <f>+VLOOKUP($M395,Data_Validation!$A:$F,6,0)</f>
        <v>#N/A</v>
      </c>
    </row>
    <row r="396" spans="2:25" ht="15" customHeight="1">
      <c r="B396" s="1398"/>
      <c r="C396" s="1401"/>
      <c r="D396" s="1400"/>
      <c r="E396" s="1400"/>
      <c r="F396" s="1400"/>
      <c r="G396" s="1398"/>
      <c r="H396" s="1398"/>
      <c r="I396" s="948"/>
      <c r="J396" s="949"/>
      <c r="K396" s="949"/>
      <c r="L396" s="949"/>
      <c r="M396" s="150">
        <f t="shared" si="35"/>
        <v>0</v>
      </c>
      <c r="N396" s="151">
        <f t="shared" si="36"/>
        <v>0</v>
      </c>
      <c r="O396" s="152">
        <f>+IF(OR($R396=Parametres!$G$2,$R396=Parametres!$G$3),J396,D396)</f>
        <v>0</v>
      </c>
      <c r="P396" s="1085">
        <f>+IF(OR($R396=Parametres!$G$2,$R396=Parametres!$G$3),K396,E396)</f>
        <v>0</v>
      </c>
      <c r="Q396" s="152">
        <f>+IF(OR($R396=Parametres!$G$2,$R396=Parametres!$G$3),L396,F396)</f>
        <v>0</v>
      </c>
      <c r="R396" s="151">
        <f t="shared" si="37"/>
        <v>0</v>
      </c>
      <c r="S396" s="150">
        <f t="shared" si="38"/>
        <v>0</v>
      </c>
      <c r="T396" s="151">
        <f t="shared" si="39"/>
        <v>0</v>
      </c>
      <c r="U396" s="153" t="e">
        <f>+VLOOKUP($M396,Data_Validation!$A:$D,1,0)</f>
        <v>#N/A</v>
      </c>
      <c r="V396" s="153" t="e">
        <f>+VLOOKUP($M396,Data_Validation!$A:$D,3,0)</f>
        <v>#N/A</v>
      </c>
      <c r="W396" s="153" t="e">
        <f>+VLOOKUP($M396,Data_Validation!$A:$D,4,0)</f>
        <v>#N/A</v>
      </c>
      <c r="X396" s="153" t="e">
        <f>+VLOOKUP($M396,Data_Validation!$A:$E,5,0)</f>
        <v>#N/A</v>
      </c>
      <c r="Y396" s="153" t="e">
        <f>+VLOOKUP($M396,Data_Validation!$A:$F,6,0)</f>
        <v>#N/A</v>
      </c>
    </row>
    <row r="397" spans="2:25" ht="15" customHeight="1">
      <c r="B397" s="1398"/>
      <c r="C397" s="1401"/>
      <c r="D397" s="1400"/>
      <c r="E397" s="1400"/>
      <c r="F397" s="1400"/>
      <c r="G397" s="1398"/>
      <c r="H397" s="1398"/>
      <c r="I397" s="948"/>
      <c r="J397" s="950"/>
      <c r="K397" s="950"/>
      <c r="L397" s="950"/>
      <c r="M397" s="150">
        <f t="shared" si="35"/>
        <v>0</v>
      </c>
      <c r="N397" s="151">
        <f t="shared" si="36"/>
        <v>0</v>
      </c>
      <c r="O397" s="152">
        <f>+IF(OR($R397=Parametres!$G$2,$R397=Parametres!$G$3),J397,D397)</f>
        <v>0</v>
      </c>
      <c r="P397" s="1083">
        <f>+IF(OR($R397=Parametres!$G$2,$R397=Parametres!$G$3),K397,E397)</f>
        <v>0</v>
      </c>
      <c r="Q397" s="152">
        <f>+IF(OR($R397=Parametres!$G$2,$R397=Parametres!$G$3),L397,F397)</f>
        <v>0</v>
      </c>
      <c r="R397" s="151">
        <f t="shared" si="37"/>
        <v>0</v>
      </c>
      <c r="S397" s="150">
        <f t="shared" si="38"/>
        <v>0</v>
      </c>
      <c r="T397" s="151">
        <f t="shared" si="39"/>
        <v>0</v>
      </c>
      <c r="U397" s="153" t="e">
        <f>+VLOOKUP($M397,Data_Validation!$A:$D,1,0)</f>
        <v>#N/A</v>
      </c>
      <c r="V397" s="153" t="e">
        <f>+VLOOKUP($M397,Data_Validation!$A:$D,3,0)</f>
        <v>#N/A</v>
      </c>
      <c r="W397" s="153" t="e">
        <f>+VLOOKUP($M397,Data_Validation!$A:$D,4,0)</f>
        <v>#N/A</v>
      </c>
      <c r="X397" s="153" t="e">
        <f>+VLOOKUP($M397,Data_Validation!$A:$E,5,0)</f>
        <v>#N/A</v>
      </c>
      <c r="Y397" s="153" t="e">
        <f>+VLOOKUP($M397,Data_Validation!$A:$F,6,0)</f>
        <v>#N/A</v>
      </c>
    </row>
    <row r="398" spans="2:25" ht="15" customHeight="1">
      <c r="B398" s="1398"/>
      <c r="C398" s="1401"/>
      <c r="D398" s="1400"/>
      <c r="E398" s="1400"/>
      <c r="F398" s="1400"/>
      <c r="G398" s="1398"/>
      <c r="H398" s="1398"/>
      <c r="I398" s="948"/>
      <c r="J398" s="949"/>
      <c r="K398" s="949"/>
      <c r="L398" s="949"/>
      <c r="M398" s="150">
        <f t="shared" si="35"/>
        <v>0</v>
      </c>
      <c r="N398" s="151">
        <f t="shared" si="36"/>
        <v>0</v>
      </c>
      <c r="O398" s="152">
        <f>+IF(OR($R398=Parametres!$G$2,$R398=Parametres!$G$3),J398,D398)</f>
        <v>0</v>
      </c>
      <c r="P398" s="1085">
        <f>+IF(OR($R398=Parametres!$G$2,$R398=Parametres!$G$3),K398,E398)</f>
        <v>0</v>
      </c>
      <c r="Q398" s="152">
        <f>+IF(OR($R398=Parametres!$G$2,$R398=Parametres!$G$3),L398,F398)</f>
        <v>0</v>
      </c>
      <c r="R398" s="151">
        <f t="shared" si="37"/>
        <v>0</v>
      </c>
      <c r="S398" s="150">
        <f t="shared" si="38"/>
        <v>0</v>
      </c>
      <c r="T398" s="151">
        <f t="shared" si="39"/>
        <v>0</v>
      </c>
      <c r="U398" s="153" t="e">
        <f>+VLOOKUP($M398,Data_Validation!$A:$D,1,0)</f>
        <v>#N/A</v>
      </c>
      <c r="V398" s="153" t="e">
        <f>+VLOOKUP($M398,Data_Validation!$A:$D,3,0)</f>
        <v>#N/A</v>
      </c>
      <c r="W398" s="153" t="e">
        <f>+VLOOKUP($M398,Data_Validation!$A:$D,4,0)</f>
        <v>#N/A</v>
      </c>
      <c r="X398" s="153" t="e">
        <f>+VLOOKUP($M398,Data_Validation!$A:$E,5,0)</f>
        <v>#N/A</v>
      </c>
      <c r="Y398" s="153" t="e">
        <f>+VLOOKUP($M398,Data_Validation!$A:$F,6,0)</f>
        <v>#N/A</v>
      </c>
    </row>
    <row r="399" spans="2:25" ht="15.75" customHeight="1">
      <c r="B399" s="1398"/>
      <c r="C399" s="1401"/>
      <c r="D399" s="1400"/>
      <c r="E399" s="1400"/>
      <c r="F399" s="1400"/>
      <c r="G399" s="1398"/>
      <c r="H399" s="1398"/>
      <c r="I399" s="948"/>
      <c r="J399" s="951"/>
      <c r="K399" s="951"/>
      <c r="L399" s="951"/>
      <c r="M399" s="150">
        <f t="shared" si="35"/>
        <v>0</v>
      </c>
      <c r="N399" s="151">
        <f t="shared" si="36"/>
        <v>0</v>
      </c>
      <c r="O399" s="152">
        <f>+IF(OR($R399=Parametres!$G$2,$R399=Parametres!$G$3),J399,D399)</f>
        <v>0</v>
      </c>
      <c r="P399" s="1085">
        <f>+IF(OR($R399=Parametres!$G$2,$R399=Parametres!$G$3),K399,E399)</f>
        <v>0</v>
      </c>
      <c r="Q399" s="152">
        <f>+IF(OR($R399=Parametres!$G$2,$R399=Parametres!$G$3),L399,F399)</f>
        <v>0</v>
      </c>
      <c r="R399" s="151">
        <f t="shared" si="37"/>
        <v>0</v>
      </c>
      <c r="S399" s="150">
        <f t="shared" si="38"/>
        <v>0</v>
      </c>
      <c r="T399" s="151">
        <f t="shared" si="39"/>
        <v>0</v>
      </c>
      <c r="U399" s="153" t="e">
        <f>+VLOOKUP($M399,Data_Validation!$A:$D,1,0)</f>
        <v>#N/A</v>
      </c>
      <c r="V399" s="153" t="e">
        <f>+VLOOKUP($M399,Data_Validation!$A:$D,3,0)</f>
        <v>#N/A</v>
      </c>
      <c r="W399" s="153" t="e">
        <f>+VLOOKUP($M399,Data_Validation!$A:$D,4,0)</f>
        <v>#N/A</v>
      </c>
      <c r="X399" s="153" t="e">
        <f>+VLOOKUP($M399,Data_Validation!$A:$E,5,0)</f>
        <v>#N/A</v>
      </c>
      <c r="Y399" s="153" t="e">
        <f>+VLOOKUP($M399,Data_Validation!$A:$F,6,0)</f>
        <v>#N/A</v>
      </c>
    </row>
    <row r="400" spans="2:25" ht="15" customHeight="1">
      <c r="B400" s="1398"/>
      <c r="C400" s="1401"/>
      <c r="D400" s="1400"/>
      <c r="E400" s="1400"/>
      <c r="F400" s="1400"/>
      <c r="G400" s="1398"/>
      <c r="H400" s="1398"/>
      <c r="I400" s="948"/>
      <c r="J400" s="949"/>
      <c r="K400" s="949"/>
      <c r="L400" s="949"/>
      <c r="M400" s="150">
        <f t="shared" si="35"/>
        <v>0</v>
      </c>
      <c r="N400" s="151">
        <f t="shared" si="36"/>
        <v>0</v>
      </c>
      <c r="O400" s="152">
        <f>+IF(OR($R400=Parametres!$G$2,$R400=Parametres!$G$3),J400,D400)</f>
        <v>0</v>
      </c>
      <c r="P400" s="1085">
        <f>+IF(OR($R400=Parametres!$G$2,$R400=Parametres!$G$3),K400,E400)</f>
        <v>0</v>
      </c>
      <c r="Q400" s="152">
        <f>+IF(OR($R400=Parametres!$G$2,$R400=Parametres!$G$3),L400,F400)</f>
        <v>0</v>
      </c>
      <c r="R400" s="151">
        <f t="shared" si="37"/>
        <v>0</v>
      </c>
      <c r="S400" s="150">
        <f t="shared" si="38"/>
        <v>0</v>
      </c>
      <c r="T400" s="151">
        <f t="shared" si="39"/>
        <v>0</v>
      </c>
      <c r="U400" s="153" t="e">
        <f>+VLOOKUP($M400,Data_Validation!$A:$D,1,0)</f>
        <v>#N/A</v>
      </c>
      <c r="V400" s="153" t="e">
        <f>+VLOOKUP($M400,Data_Validation!$A:$D,3,0)</f>
        <v>#N/A</v>
      </c>
      <c r="W400" s="153" t="e">
        <f>+VLOOKUP($M400,Data_Validation!$A:$D,4,0)</f>
        <v>#N/A</v>
      </c>
      <c r="X400" s="153" t="e">
        <f>+VLOOKUP($M400,Data_Validation!$A:$E,5,0)</f>
        <v>#N/A</v>
      </c>
      <c r="Y400" s="153" t="e">
        <f>+VLOOKUP($M400,Data_Validation!$A:$F,6,0)</f>
        <v>#N/A</v>
      </c>
    </row>
    <row r="401" spans="2:25" ht="15" customHeight="1">
      <c r="B401" s="1398"/>
      <c r="C401" s="1401"/>
      <c r="D401" s="1400"/>
      <c r="E401" s="1400"/>
      <c r="F401" s="1400"/>
      <c r="G401" s="1398"/>
      <c r="H401" s="1398"/>
      <c r="I401" s="948"/>
      <c r="J401" s="951"/>
      <c r="K401" s="951"/>
      <c r="L401" s="951"/>
      <c r="M401" s="150">
        <f t="shared" si="35"/>
        <v>0</v>
      </c>
      <c r="N401" s="151">
        <f t="shared" si="36"/>
        <v>0</v>
      </c>
      <c r="O401" s="152">
        <f>+IF(OR($R401=Parametres!$G$2,$R401=Parametres!$G$3),J401,D401)</f>
        <v>0</v>
      </c>
      <c r="P401" s="1085">
        <f>+IF(OR($R401=Parametres!$G$2,$R401=Parametres!$G$3),K401,E401)</f>
        <v>0</v>
      </c>
      <c r="Q401" s="152">
        <f>+IF(OR($R401=Parametres!$G$2,$R401=Parametres!$G$3),L401,F401)</f>
        <v>0</v>
      </c>
      <c r="R401" s="151">
        <f t="shared" si="37"/>
        <v>0</v>
      </c>
      <c r="S401" s="150">
        <f t="shared" si="38"/>
        <v>0</v>
      </c>
      <c r="T401" s="151">
        <f t="shared" si="39"/>
        <v>0</v>
      </c>
      <c r="U401" s="153" t="e">
        <f>+VLOOKUP($M401,Data_Validation!$A:$D,1,0)</f>
        <v>#N/A</v>
      </c>
      <c r="V401" s="153" t="e">
        <f>+VLOOKUP($M401,Data_Validation!$A:$D,3,0)</f>
        <v>#N/A</v>
      </c>
      <c r="W401" s="153" t="e">
        <f>+VLOOKUP($M401,Data_Validation!$A:$D,4,0)</f>
        <v>#N/A</v>
      </c>
      <c r="X401" s="153" t="e">
        <f>+VLOOKUP($M401,Data_Validation!$A:$E,5,0)</f>
        <v>#N/A</v>
      </c>
      <c r="Y401" s="153" t="e">
        <f>+VLOOKUP($M401,Data_Validation!$A:$F,6,0)</f>
        <v>#N/A</v>
      </c>
    </row>
    <row r="402" spans="2:25" ht="15" customHeight="1">
      <c r="B402" s="1398"/>
      <c r="C402" s="1401"/>
      <c r="D402" s="1400"/>
      <c r="E402" s="1400"/>
      <c r="F402" s="1400"/>
      <c r="G402" s="1398"/>
      <c r="H402" s="1398"/>
      <c r="I402" s="928"/>
      <c r="J402" s="927"/>
      <c r="K402" s="927"/>
      <c r="L402" s="927"/>
      <c r="M402" s="150">
        <f t="shared" si="35"/>
        <v>0</v>
      </c>
      <c r="N402" s="151">
        <f t="shared" si="36"/>
        <v>0</v>
      </c>
      <c r="O402" s="152">
        <f>+IF(OR($R402=Parametres!$G$2,$R402=Parametres!$G$3),J402,D402)</f>
        <v>0</v>
      </c>
      <c r="P402" s="1083">
        <f>+IF(OR($R402=Parametres!$G$2,$R402=Parametres!$G$3),K402,E402)</f>
        <v>0</v>
      </c>
      <c r="Q402" s="152">
        <f>+IF(OR($R402=Parametres!$G$2,$R402=Parametres!$G$3),L402,F402)</f>
        <v>0</v>
      </c>
      <c r="R402" s="151">
        <f t="shared" si="37"/>
        <v>0</v>
      </c>
      <c r="S402" s="150">
        <f t="shared" si="38"/>
        <v>0</v>
      </c>
      <c r="T402" s="151">
        <f t="shared" si="39"/>
        <v>0</v>
      </c>
      <c r="U402" s="153" t="e">
        <f>+VLOOKUP($M402,Data_Validation!$A:$D,1,0)</f>
        <v>#N/A</v>
      </c>
      <c r="V402" s="153" t="e">
        <f>+VLOOKUP($M402,Data_Validation!$A:$D,3,0)</f>
        <v>#N/A</v>
      </c>
      <c r="W402" s="153" t="e">
        <f>+VLOOKUP($M402,Data_Validation!$A:$D,4,0)</f>
        <v>#N/A</v>
      </c>
      <c r="X402" s="153" t="e">
        <f>+VLOOKUP($M402,Data_Validation!$A:$E,5,0)</f>
        <v>#N/A</v>
      </c>
      <c r="Y402" s="153" t="e">
        <f>+VLOOKUP($M402,Data_Validation!$A:$F,6,0)</f>
        <v>#N/A</v>
      </c>
    </row>
    <row r="403" spans="2:25" ht="15.75" customHeight="1">
      <c r="B403" s="1398"/>
      <c r="C403" s="1401"/>
      <c r="D403" s="1400"/>
      <c r="E403" s="1400"/>
      <c r="F403" s="1400"/>
      <c r="G403" s="1398"/>
      <c r="H403" s="1398"/>
      <c r="I403" s="948"/>
      <c r="J403" s="949"/>
      <c r="K403" s="949"/>
      <c r="L403" s="949"/>
      <c r="M403" s="150">
        <f t="shared" si="35"/>
        <v>0</v>
      </c>
      <c r="N403" s="151">
        <f t="shared" si="36"/>
        <v>0</v>
      </c>
      <c r="O403" s="152">
        <f>+IF(OR($R403=Parametres!$G$2,$R403=Parametres!$G$3),J403,D403)</f>
        <v>0</v>
      </c>
      <c r="P403" s="1085">
        <f>+IF(OR($R403=Parametres!$G$2,$R403=Parametres!$G$3),K403,E403)</f>
        <v>0</v>
      </c>
      <c r="Q403" s="152">
        <f>+IF(OR($R403=Parametres!$G$2,$R403=Parametres!$G$3),L403,F403)</f>
        <v>0</v>
      </c>
      <c r="R403" s="151">
        <f t="shared" si="37"/>
        <v>0</v>
      </c>
      <c r="S403" s="150">
        <f t="shared" si="38"/>
        <v>0</v>
      </c>
      <c r="T403" s="151">
        <f t="shared" si="39"/>
        <v>0</v>
      </c>
      <c r="U403" s="153" t="e">
        <f>+VLOOKUP($M403,Data_Validation!$A:$D,1,0)</f>
        <v>#N/A</v>
      </c>
      <c r="V403" s="153" t="e">
        <f>+VLOOKUP($M403,Data_Validation!$A:$D,3,0)</f>
        <v>#N/A</v>
      </c>
      <c r="W403" s="153" t="e">
        <f>+VLOOKUP($M403,Data_Validation!$A:$D,4,0)</f>
        <v>#N/A</v>
      </c>
      <c r="X403" s="153" t="e">
        <f>+VLOOKUP($M403,Data_Validation!$A:$E,5,0)</f>
        <v>#N/A</v>
      </c>
      <c r="Y403" s="153" t="e">
        <f>+VLOOKUP($M403,Data_Validation!$A:$F,6,0)</f>
        <v>#N/A</v>
      </c>
    </row>
    <row r="404" spans="2:25" ht="15" customHeight="1">
      <c r="B404" s="1398"/>
      <c r="C404" s="1401"/>
      <c r="D404" s="1400"/>
      <c r="E404" s="1400"/>
      <c r="F404" s="1400"/>
      <c r="G404" s="1398"/>
      <c r="H404" s="1398"/>
      <c r="I404" s="948"/>
      <c r="J404" s="951"/>
      <c r="K404" s="951"/>
      <c r="L404" s="951"/>
      <c r="M404" s="150">
        <f t="shared" si="35"/>
        <v>0</v>
      </c>
      <c r="N404" s="151">
        <f t="shared" si="36"/>
        <v>0</v>
      </c>
      <c r="O404" s="152">
        <f>+IF(OR($R404=Parametres!$G$2,$R404=Parametres!$G$3),J404,D404)</f>
        <v>0</v>
      </c>
      <c r="P404" s="1085">
        <f>+IF(OR($R404=Parametres!$G$2,$R404=Parametres!$G$3),K404,E404)</f>
        <v>0</v>
      </c>
      <c r="Q404" s="152">
        <f>+IF(OR($R404=Parametres!$G$2,$R404=Parametres!$G$3),L404,F404)</f>
        <v>0</v>
      </c>
      <c r="R404" s="151">
        <f t="shared" si="37"/>
        <v>0</v>
      </c>
      <c r="S404" s="150">
        <f t="shared" si="38"/>
        <v>0</v>
      </c>
      <c r="T404" s="151">
        <f t="shared" si="39"/>
        <v>0</v>
      </c>
      <c r="U404" s="153" t="e">
        <f>+VLOOKUP($M404,Data_Validation!$A:$D,1,0)</f>
        <v>#N/A</v>
      </c>
      <c r="V404" s="153" t="e">
        <f>+VLOOKUP($M404,Data_Validation!$A:$D,3,0)</f>
        <v>#N/A</v>
      </c>
      <c r="W404" s="153" t="e">
        <f>+VLOOKUP($M404,Data_Validation!$A:$D,4,0)</f>
        <v>#N/A</v>
      </c>
      <c r="X404" s="153" t="e">
        <f>+VLOOKUP($M404,Data_Validation!$A:$E,5,0)</f>
        <v>#N/A</v>
      </c>
      <c r="Y404" s="153" t="e">
        <f>+VLOOKUP($M404,Data_Validation!$A:$F,6,0)</f>
        <v>#N/A</v>
      </c>
    </row>
    <row r="405" spans="2:25" ht="15" customHeight="1">
      <c r="B405" s="1398"/>
      <c r="C405" s="1401"/>
      <c r="D405" s="1400"/>
      <c r="E405" s="1400"/>
      <c r="F405" s="1400"/>
      <c r="G405" s="1398"/>
      <c r="H405" s="1398"/>
      <c r="I405" s="948"/>
      <c r="J405" s="949"/>
      <c r="K405" s="949"/>
      <c r="L405" s="949"/>
      <c r="M405" s="150">
        <f t="shared" si="35"/>
        <v>0</v>
      </c>
      <c r="N405" s="151">
        <f t="shared" si="36"/>
        <v>0</v>
      </c>
      <c r="O405" s="152">
        <f>+IF(OR($R405=Parametres!$G$2,$R405=Parametres!$G$3),J405,D405)</f>
        <v>0</v>
      </c>
      <c r="P405" s="1085">
        <f>+IF(OR($R405=Parametres!$G$2,$R405=Parametres!$G$3),K405,E405)</f>
        <v>0</v>
      </c>
      <c r="Q405" s="152">
        <f>+IF(OR($R405=Parametres!$G$2,$R405=Parametres!$G$3),L405,F405)</f>
        <v>0</v>
      </c>
      <c r="R405" s="151">
        <f t="shared" si="37"/>
        <v>0</v>
      </c>
      <c r="S405" s="150">
        <f t="shared" si="38"/>
        <v>0</v>
      </c>
      <c r="T405" s="151">
        <f t="shared" si="39"/>
        <v>0</v>
      </c>
      <c r="U405" s="153" t="e">
        <f>+VLOOKUP($M405,Data_Validation!$A:$D,1,0)</f>
        <v>#N/A</v>
      </c>
      <c r="V405" s="153" t="e">
        <f>+VLOOKUP($M405,Data_Validation!$A:$D,3,0)</f>
        <v>#N/A</v>
      </c>
      <c r="W405" s="153" t="e">
        <f>+VLOOKUP($M405,Data_Validation!$A:$D,4,0)</f>
        <v>#N/A</v>
      </c>
      <c r="X405" s="153" t="e">
        <f>+VLOOKUP($M405,Data_Validation!$A:$E,5,0)</f>
        <v>#N/A</v>
      </c>
      <c r="Y405" s="153" t="e">
        <f>+VLOOKUP($M405,Data_Validation!$A:$F,6,0)</f>
        <v>#N/A</v>
      </c>
    </row>
    <row r="406" spans="2:25" ht="15" customHeight="1">
      <c r="B406" s="1398"/>
      <c r="C406" s="1401"/>
      <c r="D406" s="1400"/>
      <c r="E406" s="1400"/>
      <c r="F406" s="1400"/>
      <c r="G406" s="1398"/>
      <c r="H406" s="1398"/>
      <c r="I406" s="948"/>
      <c r="J406" s="951"/>
      <c r="K406" s="951"/>
      <c r="L406" s="951"/>
      <c r="M406" s="150">
        <f t="shared" si="35"/>
        <v>0</v>
      </c>
      <c r="N406" s="151">
        <f t="shared" si="36"/>
        <v>0</v>
      </c>
      <c r="O406" s="152">
        <f>+IF(OR($R406=Parametres!$G$2,$R406=Parametres!$G$3),J406,D406)</f>
        <v>0</v>
      </c>
      <c r="P406" s="1085">
        <f>+IF(OR($R406=Parametres!$G$2,$R406=Parametres!$G$3),K406,E406)</f>
        <v>0</v>
      </c>
      <c r="Q406" s="152">
        <f>+IF(OR($R406=Parametres!$G$2,$R406=Parametres!$G$3),L406,F406)</f>
        <v>0</v>
      </c>
      <c r="R406" s="151">
        <f t="shared" si="37"/>
        <v>0</v>
      </c>
      <c r="S406" s="150">
        <f t="shared" si="38"/>
        <v>0</v>
      </c>
      <c r="T406" s="151">
        <f t="shared" si="39"/>
        <v>0</v>
      </c>
      <c r="U406" s="153" t="e">
        <f>+VLOOKUP($M406,Data_Validation!$A:$D,1,0)</f>
        <v>#N/A</v>
      </c>
      <c r="V406" s="153" t="e">
        <f>+VLOOKUP($M406,Data_Validation!$A:$D,3,0)</f>
        <v>#N/A</v>
      </c>
      <c r="W406" s="153" t="e">
        <f>+VLOOKUP($M406,Data_Validation!$A:$D,4,0)</f>
        <v>#N/A</v>
      </c>
      <c r="X406" s="153" t="e">
        <f>+VLOOKUP($M406,Data_Validation!$A:$E,5,0)</f>
        <v>#N/A</v>
      </c>
      <c r="Y406" s="153" t="e">
        <f>+VLOOKUP($M406,Data_Validation!$A:$F,6,0)</f>
        <v>#N/A</v>
      </c>
    </row>
    <row r="407" spans="2:25" ht="15.75" customHeight="1">
      <c r="B407" s="1398"/>
      <c r="C407" s="1401"/>
      <c r="D407" s="1400"/>
      <c r="E407" s="1400"/>
      <c r="F407" s="1400"/>
      <c r="G407" s="1398"/>
      <c r="H407" s="1398"/>
      <c r="I407" s="928"/>
      <c r="J407" s="927"/>
      <c r="K407" s="927"/>
      <c r="L407" s="927"/>
      <c r="M407" s="150">
        <f t="shared" si="35"/>
        <v>0</v>
      </c>
      <c r="N407" s="573">
        <f t="shared" si="36"/>
        <v>0</v>
      </c>
      <c r="O407" s="152">
        <f>+IF(OR($R407=Parametres!$G$2,$R407=Parametres!$G$3),J407,D407)</f>
        <v>0</v>
      </c>
      <c r="P407" s="1083">
        <f>+IF(OR($R407=Parametres!$G$2,$R407=Parametres!$G$3),K407,E407)</f>
        <v>0</v>
      </c>
      <c r="Q407" s="575">
        <f>+IF(OR($R407=Parametres!$G$2,$R407=Parametres!$G$3),L407,F407)</f>
        <v>0</v>
      </c>
      <c r="R407" s="151">
        <f t="shared" si="37"/>
        <v>0</v>
      </c>
      <c r="S407" s="150">
        <f t="shared" si="38"/>
        <v>0</v>
      </c>
      <c r="T407" s="151">
        <f t="shared" si="39"/>
        <v>0</v>
      </c>
      <c r="U407" s="153" t="e">
        <f>+VLOOKUP($M407,Data_Validation!$A:$D,1,0)</f>
        <v>#N/A</v>
      </c>
      <c r="V407" s="153" t="e">
        <f>+VLOOKUP($M407,Data_Validation!$A:$D,3,0)</f>
        <v>#N/A</v>
      </c>
      <c r="W407" s="153" t="e">
        <f>+VLOOKUP($M407,Data_Validation!$A:$D,4,0)</f>
        <v>#N/A</v>
      </c>
      <c r="X407" s="153" t="e">
        <f>+VLOOKUP($M407,Data_Validation!$A:$E,5,0)</f>
        <v>#N/A</v>
      </c>
      <c r="Y407" s="153" t="e">
        <f>+VLOOKUP($M407,Data_Validation!$A:$F,6,0)</f>
        <v>#N/A</v>
      </c>
    </row>
    <row r="408" spans="2:25" ht="15" customHeight="1">
      <c r="B408" s="1398"/>
      <c r="C408" s="1401"/>
      <c r="D408" s="1400"/>
      <c r="E408" s="1400"/>
      <c r="F408" s="1400"/>
      <c r="G408" s="1398"/>
      <c r="H408" s="1398"/>
      <c r="I408" s="1198"/>
      <c r="J408" s="1203"/>
      <c r="K408" s="1198"/>
      <c r="L408" s="1203"/>
      <c r="M408" s="150">
        <f t="shared" si="35"/>
        <v>0</v>
      </c>
      <c r="N408" s="151">
        <f t="shared" si="36"/>
        <v>0</v>
      </c>
      <c r="O408" s="152">
        <f>+IF(OR($R408=Parametres!$G$2,$R408=Parametres!$G$3),J408,D408)</f>
        <v>0</v>
      </c>
      <c r="P408" s="1085">
        <f>+IF(OR($R408=Parametres!$G$2,$R408=Parametres!$G$3),K408,E408)</f>
        <v>0</v>
      </c>
      <c r="Q408" s="152">
        <f>+IF(OR($R408=Parametres!$G$2,$R408=Parametres!$G$3),L408,F408)</f>
        <v>0</v>
      </c>
      <c r="R408" s="151">
        <f t="shared" si="37"/>
        <v>0</v>
      </c>
      <c r="S408" s="150">
        <f t="shared" si="38"/>
        <v>0</v>
      </c>
      <c r="T408" s="151">
        <f t="shared" si="39"/>
        <v>0</v>
      </c>
      <c r="U408" s="153" t="e">
        <f>+VLOOKUP($M408,Data_Validation!$A:$D,1,0)</f>
        <v>#N/A</v>
      </c>
      <c r="V408" s="153" t="e">
        <f>+VLOOKUP($M408,Data_Validation!$A:$D,3,0)</f>
        <v>#N/A</v>
      </c>
      <c r="W408" s="153" t="e">
        <f>+VLOOKUP($M408,Data_Validation!$A:$D,4,0)</f>
        <v>#N/A</v>
      </c>
      <c r="X408" s="153" t="e">
        <f>+VLOOKUP($M408,Data_Validation!$A:$E,5,0)</f>
        <v>#N/A</v>
      </c>
      <c r="Y408" s="153" t="e">
        <f>+VLOOKUP($M408,Data_Validation!$A:$F,6,0)</f>
        <v>#N/A</v>
      </c>
    </row>
    <row r="409" spans="2:25" ht="15" customHeight="1">
      <c r="B409" s="1398"/>
      <c r="C409" s="1401"/>
      <c r="D409" s="1400"/>
      <c r="E409" s="1400"/>
      <c r="F409" s="1400"/>
      <c r="G409" s="1398"/>
      <c r="H409" s="1398"/>
      <c r="I409" s="1195"/>
      <c r="J409" s="1196"/>
      <c r="K409" s="1196"/>
      <c r="L409" s="1196"/>
      <c r="M409" s="150">
        <f t="shared" si="35"/>
        <v>0</v>
      </c>
      <c r="N409" s="151">
        <f t="shared" si="36"/>
        <v>0</v>
      </c>
      <c r="O409" s="152">
        <f>+IF(OR($R409=Parametres!$G$2,$R409=Parametres!$G$3),J409,D409)</f>
        <v>0</v>
      </c>
      <c r="P409" s="1086">
        <f>+IF(OR($R409=Parametres!$G$2,$R409=Parametres!$G$3),K409,E409)</f>
        <v>0</v>
      </c>
      <c r="Q409" s="152">
        <f>+IF(OR($R409=Parametres!$G$2,$R409=Parametres!$G$3),L409,F409)</f>
        <v>0</v>
      </c>
      <c r="R409" s="151">
        <f t="shared" si="37"/>
        <v>0</v>
      </c>
      <c r="S409" s="150">
        <f t="shared" si="38"/>
        <v>0</v>
      </c>
      <c r="T409" s="151">
        <f t="shared" si="39"/>
        <v>0</v>
      </c>
      <c r="U409" s="153" t="e">
        <f>+VLOOKUP($M409,Data_Validation!$A:$D,1,0)</f>
        <v>#N/A</v>
      </c>
      <c r="V409" s="153" t="e">
        <f>+VLOOKUP($M409,Data_Validation!$A:$D,3,0)</f>
        <v>#N/A</v>
      </c>
      <c r="W409" s="153" t="e">
        <f>+VLOOKUP($M409,Data_Validation!$A:$D,4,0)</f>
        <v>#N/A</v>
      </c>
      <c r="X409" s="153" t="e">
        <f>+VLOOKUP($M409,Data_Validation!$A:$E,5,0)</f>
        <v>#N/A</v>
      </c>
      <c r="Y409" s="153" t="e">
        <f>+VLOOKUP($M409,Data_Validation!$A:$F,6,0)</f>
        <v>#N/A</v>
      </c>
    </row>
    <row r="410" spans="2:25" ht="15" customHeight="1">
      <c r="B410" s="1398"/>
      <c r="C410" s="1401"/>
      <c r="D410" s="1400"/>
      <c r="E410" s="1400"/>
      <c r="F410" s="1400"/>
      <c r="G410" s="1398"/>
      <c r="H410" s="1398"/>
      <c r="I410" s="1195"/>
      <c r="J410" s="1194"/>
      <c r="K410" s="1195"/>
      <c r="L410" s="1194"/>
      <c r="M410" s="150">
        <f t="shared" si="35"/>
        <v>0</v>
      </c>
      <c r="N410" s="151">
        <f t="shared" si="36"/>
        <v>0</v>
      </c>
      <c r="O410" s="152">
        <f>+IF(OR($R410=Parametres!$G$2,$R410=Parametres!$G$3),J410,D410)</f>
        <v>0</v>
      </c>
      <c r="P410" s="1085">
        <f>+IF(OR($R410=Parametres!$G$2,$R410=Parametres!$G$3),K410,E410)</f>
        <v>0</v>
      </c>
      <c r="Q410" s="152">
        <f>+IF(OR($R410=Parametres!$G$2,$R410=Parametres!$G$3),L410,F410)</f>
        <v>0</v>
      </c>
      <c r="R410" s="151">
        <f t="shared" si="37"/>
        <v>0</v>
      </c>
      <c r="S410" s="150">
        <f t="shared" si="38"/>
        <v>0</v>
      </c>
      <c r="T410" s="151">
        <f t="shared" si="39"/>
        <v>0</v>
      </c>
      <c r="U410" s="153" t="e">
        <f>+VLOOKUP($M410,Data_Validation!$A:$D,1,0)</f>
        <v>#N/A</v>
      </c>
      <c r="V410" s="153" t="e">
        <f>+VLOOKUP($M410,Data_Validation!$A:$D,3,0)</f>
        <v>#N/A</v>
      </c>
      <c r="W410" s="153" t="e">
        <f>+VLOOKUP($M410,Data_Validation!$A:$D,4,0)</f>
        <v>#N/A</v>
      </c>
      <c r="X410" s="153" t="e">
        <f>+VLOOKUP($M410,Data_Validation!$A:$E,5,0)</f>
        <v>#N/A</v>
      </c>
      <c r="Y410" s="153" t="e">
        <f>+VLOOKUP($M410,Data_Validation!$A:$F,6,0)</f>
        <v>#N/A</v>
      </c>
    </row>
    <row r="411" spans="2:25" ht="15.75" customHeight="1">
      <c r="B411" s="1398"/>
      <c r="C411" s="1401"/>
      <c r="D411" s="1400"/>
      <c r="E411" s="1400"/>
      <c r="F411" s="1400"/>
      <c r="G411" s="1398"/>
      <c r="H411" s="1398"/>
      <c r="I411" s="1198"/>
      <c r="J411" s="1199"/>
      <c r="K411" s="1199"/>
      <c r="L411" s="1199"/>
      <c r="M411" s="150">
        <f t="shared" si="35"/>
        <v>0</v>
      </c>
      <c r="N411" s="151">
        <f t="shared" si="36"/>
        <v>0</v>
      </c>
      <c r="O411" s="152">
        <f>+IF(OR($R411=Parametres!$G$2,$R411=Parametres!$G$3),J411,D411)</f>
        <v>0</v>
      </c>
      <c r="P411" s="1085">
        <f>+IF(OR($R411=Parametres!$G$2,$R411=Parametres!$G$3),K411,E411)</f>
        <v>0</v>
      </c>
      <c r="Q411" s="152">
        <f>+IF(OR($R411=Parametres!$G$2,$R411=Parametres!$G$3),L411,F411)</f>
        <v>0</v>
      </c>
      <c r="R411" s="151">
        <f t="shared" si="37"/>
        <v>0</v>
      </c>
      <c r="S411" s="150">
        <f t="shared" si="38"/>
        <v>0</v>
      </c>
      <c r="T411" s="151">
        <f t="shared" si="39"/>
        <v>0</v>
      </c>
      <c r="U411" s="153" t="e">
        <f>+VLOOKUP($M411,Data_Validation!$A:$D,1,0)</f>
        <v>#N/A</v>
      </c>
      <c r="V411" s="153" t="e">
        <f>+VLOOKUP($M411,Data_Validation!$A:$D,3,0)</f>
        <v>#N/A</v>
      </c>
      <c r="W411" s="153" t="e">
        <f>+VLOOKUP($M411,Data_Validation!$A:$D,4,0)</f>
        <v>#N/A</v>
      </c>
      <c r="X411" s="153" t="e">
        <f>+VLOOKUP($M411,Data_Validation!$A:$E,5,0)</f>
        <v>#N/A</v>
      </c>
      <c r="Y411" s="153" t="e">
        <f>+VLOOKUP($M411,Data_Validation!$A:$F,6,0)</f>
        <v>#N/A</v>
      </c>
    </row>
    <row r="412" spans="2:25" ht="15" customHeight="1">
      <c r="B412" s="1398"/>
      <c r="C412" s="1401"/>
      <c r="D412" s="1400"/>
      <c r="E412" s="1400"/>
      <c r="F412" s="1400"/>
      <c r="G412" s="1398"/>
      <c r="H412" s="1398"/>
      <c r="I412" s="928"/>
      <c r="J412" s="928"/>
      <c r="K412" s="928"/>
      <c r="L412" s="928"/>
      <c r="M412" s="150">
        <f t="shared" si="35"/>
        <v>0</v>
      </c>
      <c r="N412" s="151">
        <f t="shared" si="36"/>
        <v>0</v>
      </c>
      <c r="O412" s="152">
        <f>+IF(OR($R412=Parametres!$G$2,$R412=Parametres!$G$3),J412,D412)</f>
        <v>0</v>
      </c>
      <c r="P412" s="1083">
        <f>+IF(OR($R412=Parametres!$G$2,$R412=Parametres!$G$3),K412,E412)</f>
        <v>0</v>
      </c>
      <c r="Q412" s="152">
        <f>+IF(OR($R412=Parametres!$G$2,$R412=Parametres!$G$3),L412,F412)</f>
        <v>0</v>
      </c>
      <c r="R412" s="151">
        <f t="shared" si="37"/>
        <v>0</v>
      </c>
      <c r="S412" s="150">
        <f t="shared" si="38"/>
        <v>0</v>
      </c>
      <c r="T412" s="151">
        <f t="shared" si="39"/>
        <v>0</v>
      </c>
      <c r="U412" s="153" t="e">
        <f>+VLOOKUP($M412,Data_Validation!$A:$D,1,0)</f>
        <v>#N/A</v>
      </c>
      <c r="V412" s="153" t="e">
        <f>+VLOOKUP($M412,Data_Validation!$A:$D,3,0)</f>
        <v>#N/A</v>
      </c>
      <c r="W412" s="153" t="e">
        <f>+VLOOKUP($M412,Data_Validation!$A:$D,4,0)</f>
        <v>#N/A</v>
      </c>
      <c r="X412" s="153" t="e">
        <f>+VLOOKUP($M412,Data_Validation!$A:$E,5,0)</f>
        <v>#N/A</v>
      </c>
      <c r="Y412" s="153" t="e">
        <f>+VLOOKUP($M412,Data_Validation!$A:$F,6,0)</f>
        <v>#N/A</v>
      </c>
    </row>
    <row r="413" spans="2:25" ht="15" customHeight="1">
      <c r="B413" s="1398"/>
      <c r="C413" s="1401"/>
      <c r="D413" s="1400"/>
      <c r="E413" s="1400"/>
      <c r="F413" s="1400"/>
      <c r="G413" s="1398"/>
      <c r="H413" s="1398"/>
      <c r="I413" s="1198"/>
      <c r="J413" s="1198"/>
      <c r="K413" s="1198"/>
      <c r="L413" s="1203"/>
      <c r="M413" s="150">
        <f t="shared" si="35"/>
        <v>0</v>
      </c>
      <c r="N413" s="151">
        <f t="shared" si="36"/>
        <v>0</v>
      </c>
      <c r="O413" s="152">
        <f>+IF(OR($R413=Parametres!$G$2,$R413=Parametres!$G$3),J413,D413)</f>
        <v>0</v>
      </c>
      <c r="P413" s="1083">
        <f>+IF(OR($R413=Parametres!$G$2,$R413=Parametres!$G$3),K413,E413)</f>
        <v>0</v>
      </c>
      <c r="Q413" s="152">
        <f>+IF(OR($R413=Parametres!$G$2,$R413=Parametres!$G$3),L413,F413)</f>
        <v>0</v>
      </c>
      <c r="R413" s="151">
        <f t="shared" si="37"/>
        <v>0</v>
      </c>
      <c r="S413" s="150">
        <f t="shared" si="38"/>
        <v>0</v>
      </c>
      <c r="T413" s="151">
        <f t="shared" si="39"/>
        <v>0</v>
      </c>
      <c r="U413" s="153" t="e">
        <f>+VLOOKUP($M413,Data_Validation!$A:$D,1,0)</f>
        <v>#N/A</v>
      </c>
      <c r="V413" s="153" t="e">
        <f>+VLOOKUP($M413,Data_Validation!$A:$D,3,0)</f>
        <v>#N/A</v>
      </c>
      <c r="W413" s="153" t="e">
        <f>+VLOOKUP($M413,Data_Validation!$A:$D,4,0)</f>
        <v>#N/A</v>
      </c>
      <c r="X413" s="153" t="e">
        <f>+VLOOKUP($M413,Data_Validation!$A:$E,5,0)</f>
        <v>#N/A</v>
      </c>
      <c r="Y413" s="153" t="e">
        <f>+VLOOKUP($M413,Data_Validation!$A:$F,6,0)</f>
        <v>#N/A</v>
      </c>
    </row>
    <row r="414" spans="2:25" ht="15" customHeight="1">
      <c r="B414" s="1398"/>
      <c r="C414" s="1401"/>
      <c r="D414" s="1400"/>
      <c r="E414" s="1400"/>
      <c r="F414" s="1400"/>
      <c r="G414" s="1398"/>
      <c r="H414" s="1398"/>
      <c r="I414" s="928"/>
      <c r="J414" s="927"/>
      <c r="K414" s="927"/>
      <c r="L414" s="927"/>
      <c r="M414" s="150">
        <f t="shared" si="35"/>
        <v>0</v>
      </c>
      <c r="N414" s="151">
        <f t="shared" si="36"/>
        <v>0</v>
      </c>
      <c r="O414" s="152">
        <f>+IF(OR($R414=Parametres!$G$2,$R414=Parametres!$G$3),J414,D414)</f>
        <v>0</v>
      </c>
      <c r="P414" s="1085">
        <f>+IF(OR($R414=Parametres!$G$2,$R414=Parametres!$G$3),K414,E414)</f>
        <v>0</v>
      </c>
      <c r="Q414" s="152">
        <f>+IF(OR($R414=Parametres!$G$2,$R414=Parametres!$G$3),L414,F414)</f>
        <v>0</v>
      </c>
      <c r="R414" s="151">
        <f t="shared" si="37"/>
        <v>0</v>
      </c>
      <c r="S414" s="150">
        <f t="shared" si="38"/>
        <v>0</v>
      </c>
      <c r="T414" s="151">
        <f t="shared" si="39"/>
        <v>0</v>
      </c>
      <c r="U414" s="153" t="e">
        <f>+VLOOKUP($M414,Data_Validation!$A:$D,1,0)</f>
        <v>#N/A</v>
      </c>
      <c r="V414" s="153" t="e">
        <f>+VLOOKUP($M414,Data_Validation!$A:$D,3,0)</f>
        <v>#N/A</v>
      </c>
      <c r="W414" s="153" t="e">
        <f>+VLOOKUP($M414,Data_Validation!$A:$D,4,0)</f>
        <v>#N/A</v>
      </c>
      <c r="X414" s="153" t="e">
        <f>+VLOOKUP($M414,Data_Validation!$A:$E,5,0)</f>
        <v>#N/A</v>
      </c>
      <c r="Y414" s="153" t="e">
        <f>+VLOOKUP($M414,Data_Validation!$A:$F,6,0)</f>
        <v>#N/A</v>
      </c>
    </row>
    <row r="415" spans="2:25" ht="15.75" customHeight="1">
      <c r="B415" s="1398"/>
      <c r="C415" s="1401"/>
      <c r="D415" s="1400"/>
      <c r="E415" s="1400"/>
      <c r="F415" s="1400"/>
      <c r="G415" s="1398"/>
      <c r="H415" s="1398"/>
      <c r="I415" s="1198"/>
      <c r="J415" s="1203"/>
      <c r="K415" s="1198"/>
      <c r="L415" s="1203"/>
      <c r="M415" s="150">
        <f t="shared" si="35"/>
        <v>0</v>
      </c>
      <c r="N415" s="151">
        <f t="shared" si="36"/>
        <v>0</v>
      </c>
      <c r="O415" s="152">
        <f>+IF(OR($R415=Parametres!$G$2,$R415=Parametres!$G$3),J415,D415)</f>
        <v>0</v>
      </c>
      <c r="P415" s="1085">
        <f>+IF(OR($R415=Parametres!$G$2,$R415=Parametres!$G$3),K415,E415)</f>
        <v>0</v>
      </c>
      <c r="Q415" s="152">
        <f>+IF(OR($R415=Parametres!$G$2,$R415=Parametres!$G$3),L415,F415)</f>
        <v>0</v>
      </c>
      <c r="R415" s="151">
        <f t="shared" si="37"/>
        <v>0</v>
      </c>
      <c r="S415" s="150">
        <f t="shared" si="38"/>
        <v>0</v>
      </c>
      <c r="T415" s="151">
        <f t="shared" si="39"/>
        <v>0</v>
      </c>
      <c r="U415" s="153" t="e">
        <f>+VLOOKUP($M415,Data_Validation!$A:$D,1,0)</f>
        <v>#N/A</v>
      </c>
      <c r="V415" s="153" t="e">
        <f>+VLOOKUP($M415,Data_Validation!$A:$D,3,0)</f>
        <v>#N/A</v>
      </c>
      <c r="W415" s="153" t="e">
        <f>+VLOOKUP($M415,Data_Validation!$A:$D,4,0)</f>
        <v>#N/A</v>
      </c>
      <c r="X415" s="153" t="e">
        <f>+VLOOKUP($M415,Data_Validation!$A:$E,5,0)</f>
        <v>#N/A</v>
      </c>
      <c r="Y415" s="153" t="e">
        <f>+VLOOKUP($M415,Data_Validation!$A:$F,6,0)</f>
        <v>#N/A</v>
      </c>
    </row>
    <row r="416" spans="2:25" ht="15" customHeight="1">
      <c r="B416" s="1398"/>
      <c r="C416" s="1401"/>
      <c r="D416" s="1400"/>
      <c r="E416" s="1400"/>
      <c r="F416" s="1400"/>
      <c r="G416" s="1398"/>
      <c r="H416" s="1398"/>
      <c r="I416" s="1198"/>
      <c r="J416" s="1199"/>
      <c r="K416" s="1199"/>
      <c r="L416" s="1199"/>
      <c r="M416" s="150">
        <f t="shared" si="35"/>
        <v>0</v>
      </c>
      <c r="N416" s="151">
        <f t="shared" si="36"/>
        <v>0</v>
      </c>
      <c r="O416" s="152">
        <f>+IF(OR($R416=Parametres!$G$2,$R416=Parametres!$G$3),J416,D416)</f>
        <v>0</v>
      </c>
      <c r="P416" s="1085">
        <f>+IF(OR($R416=Parametres!$G$2,$R416=Parametres!$G$3),K416,E416)</f>
        <v>0</v>
      </c>
      <c r="Q416" s="152">
        <f>+IF(OR($R416=Parametres!$G$2,$R416=Parametres!$G$3),L416,F416)</f>
        <v>0</v>
      </c>
      <c r="R416" s="151">
        <f t="shared" si="37"/>
        <v>0</v>
      </c>
      <c r="S416" s="150">
        <f t="shared" si="38"/>
        <v>0</v>
      </c>
      <c r="T416" s="151">
        <f t="shared" si="39"/>
        <v>0</v>
      </c>
      <c r="U416" s="153" t="e">
        <f>+VLOOKUP($M416,Data_Validation!$A:$D,1,0)</f>
        <v>#N/A</v>
      </c>
      <c r="V416" s="153" t="e">
        <f>+VLOOKUP($M416,Data_Validation!$A:$D,3,0)</f>
        <v>#N/A</v>
      </c>
      <c r="W416" s="153" t="e">
        <f>+VLOOKUP($M416,Data_Validation!$A:$D,4,0)</f>
        <v>#N/A</v>
      </c>
      <c r="X416" s="153" t="e">
        <f>+VLOOKUP($M416,Data_Validation!$A:$E,5,0)</f>
        <v>#N/A</v>
      </c>
      <c r="Y416" s="153" t="e">
        <f>+VLOOKUP($M416,Data_Validation!$A:$F,6,0)</f>
        <v>#N/A</v>
      </c>
    </row>
    <row r="417" spans="2:25" ht="15" customHeight="1">
      <c r="B417" s="1398"/>
      <c r="C417" s="1401"/>
      <c r="D417" s="1400"/>
      <c r="E417" s="1400"/>
      <c r="F417" s="1400"/>
      <c r="G417" s="1398"/>
      <c r="H417" s="1398"/>
      <c r="I417" s="928"/>
      <c r="J417" s="927"/>
      <c r="K417" s="927"/>
      <c r="L417" s="927"/>
      <c r="M417" s="150">
        <f t="shared" si="35"/>
        <v>0</v>
      </c>
      <c r="N417" s="151">
        <f t="shared" si="36"/>
        <v>0</v>
      </c>
      <c r="O417" s="152">
        <f>+IF(OR($R417=Parametres!$G$2,$R417=Parametres!$G$3),J417,D417)</f>
        <v>0</v>
      </c>
      <c r="P417" s="1085">
        <f>+IF(OR($R417=Parametres!$G$2,$R417=Parametres!$G$3),K417,E417)</f>
        <v>0</v>
      </c>
      <c r="Q417" s="152">
        <f>+IF(OR($R417=Parametres!$G$2,$R417=Parametres!$G$3),L417,F417)</f>
        <v>0</v>
      </c>
      <c r="R417" s="151">
        <f t="shared" si="37"/>
        <v>0</v>
      </c>
      <c r="S417" s="150">
        <f t="shared" si="38"/>
        <v>0</v>
      </c>
      <c r="T417" s="151">
        <f t="shared" si="39"/>
        <v>0</v>
      </c>
      <c r="U417" s="153" t="e">
        <f>+VLOOKUP($M417,Data_Validation!$A:$D,1,0)</f>
        <v>#N/A</v>
      </c>
      <c r="V417" s="153" t="e">
        <f>+VLOOKUP($M417,Data_Validation!$A:$D,3,0)</f>
        <v>#N/A</v>
      </c>
      <c r="W417" s="153" t="e">
        <f>+VLOOKUP($M417,Data_Validation!$A:$D,4,0)</f>
        <v>#N/A</v>
      </c>
      <c r="X417" s="153" t="e">
        <f>+VLOOKUP($M417,Data_Validation!$A:$E,5,0)</f>
        <v>#N/A</v>
      </c>
      <c r="Y417" s="153" t="e">
        <f>+VLOOKUP($M417,Data_Validation!$A:$F,6,0)</f>
        <v>#N/A</v>
      </c>
    </row>
    <row r="418" spans="2:25" ht="15" customHeight="1">
      <c r="B418" s="1398"/>
      <c r="C418" s="1401"/>
      <c r="D418" s="1400"/>
      <c r="E418" s="1400"/>
      <c r="F418" s="1400"/>
      <c r="G418" s="1398"/>
      <c r="H418" s="1398"/>
      <c r="I418" s="1198"/>
      <c r="J418" s="1199"/>
      <c r="K418" s="1199"/>
      <c r="L418" s="1199"/>
      <c r="M418" s="150">
        <f t="shared" si="35"/>
        <v>0</v>
      </c>
      <c r="N418" s="151">
        <f t="shared" si="36"/>
        <v>0</v>
      </c>
      <c r="O418" s="152">
        <f>+IF(OR($R418=Parametres!$G$2,$R418=Parametres!$G$3),J418,D418)</f>
        <v>0</v>
      </c>
      <c r="P418" s="1085">
        <f>+IF(OR($R418=Parametres!$G$2,$R418=Parametres!$G$3),K418,E418)</f>
        <v>0</v>
      </c>
      <c r="Q418" s="152">
        <f>+IF(OR($R418=Parametres!$G$2,$R418=Parametres!$G$3),L418,F418)</f>
        <v>0</v>
      </c>
      <c r="R418" s="151">
        <f t="shared" si="37"/>
        <v>0</v>
      </c>
      <c r="S418" s="150">
        <f t="shared" si="38"/>
        <v>0</v>
      </c>
      <c r="T418" s="151">
        <f t="shared" si="39"/>
        <v>0</v>
      </c>
      <c r="U418" s="153" t="e">
        <f>+VLOOKUP($M418,Data_Validation!$A:$D,1,0)</f>
        <v>#N/A</v>
      </c>
      <c r="V418" s="153" t="e">
        <f>+VLOOKUP($M418,Data_Validation!$A:$D,3,0)</f>
        <v>#N/A</v>
      </c>
      <c r="W418" s="153" t="e">
        <f>+VLOOKUP($M418,Data_Validation!$A:$D,4,0)</f>
        <v>#N/A</v>
      </c>
      <c r="X418" s="153" t="e">
        <f>+VLOOKUP($M418,Data_Validation!$A:$E,5,0)</f>
        <v>#N/A</v>
      </c>
      <c r="Y418" s="153" t="e">
        <f>+VLOOKUP($M418,Data_Validation!$A:$F,6,0)</f>
        <v>#N/A</v>
      </c>
    </row>
    <row r="419" spans="2:25" ht="15.75" customHeight="1">
      <c r="B419" s="1398"/>
      <c r="C419" s="1401"/>
      <c r="D419" s="1400"/>
      <c r="E419" s="1400"/>
      <c r="F419" s="1400"/>
      <c r="G419" s="1398"/>
      <c r="H419" s="1398"/>
      <c r="I419" s="1198"/>
      <c r="J419" s="1199"/>
      <c r="K419" s="1199"/>
      <c r="L419" s="1199"/>
      <c r="M419" s="150">
        <f t="shared" si="35"/>
        <v>0</v>
      </c>
      <c r="N419" s="151">
        <f t="shared" si="36"/>
        <v>0</v>
      </c>
      <c r="O419" s="152">
        <f>+IF(OR($R419=Parametres!$G$2,$R419=Parametres!$G$3),J419,D419)</f>
        <v>0</v>
      </c>
      <c r="P419" s="1085">
        <f>+IF(OR($R419=Parametres!$G$2,$R419=Parametres!$G$3),K419,E419)</f>
        <v>0</v>
      </c>
      <c r="Q419" s="152">
        <f>+IF(OR($R419=Parametres!$G$2,$R419=Parametres!$G$3),L419,F419)</f>
        <v>0</v>
      </c>
      <c r="R419" s="151">
        <f t="shared" si="37"/>
        <v>0</v>
      </c>
      <c r="S419" s="150">
        <f t="shared" si="38"/>
        <v>0</v>
      </c>
      <c r="T419" s="151">
        <f t="shared" si="39"/>
        <v>0</v>
      </c>
      <c r="U419" s="153" t="e">
        <f>+VLOOKUP($M419,Data_Validation!$A:$D,1,0)</f>
        <v>#N/A</v>
      </c>
      <c r="V419" s="153" t="e">
        <f>+VLOOKUP($M419,Data_Validation!$A:$D,3,0)</f>
        <v>#N/A</v>
      </c>
      <c r="W419" s="153" t="e">
        <f>+VLOOKUP($M419,Data_Validation!$A:$D,4,0)</f>
        <v>#N/A</v>
      </c>
      <c r="X419" s="153" t="e">
        <f>+VLOOKUP($M419,Data_Validation!$A:$E,5,0)</f>
        <v>#N/A</v>
      </c>
      <c r="Y419" s="153" t="e">
        <f>+VLOOKUP($M419,Data_Validation!$A:$F,6,0)</f>
        <v>#N/A</v>
      </c>
    </row>
    <row r="420" spans="2:25" ht="15.75" customHeight="1">
      <c r="B420" s="1398"/>
      <c r="C420" s="1401"/>
      <c r="D420" s="1400"/>
      <c r="E420" s="1400"/>
      <c r="F420" s="1400"/>
      <c r="G420" s="1398"/>
      <c r="H420" s="1398"/>
      <c r="I420" s="948"/>
      <c r="J420" s="949"/>
      <c r="K420" s="949"/>
      <c r="L420" s="949"/>
      <c r="M420" s="150">
        <f t="shared" si="35"/>
        <v>0</v>
      </c>
      <c r="N420" s="151">
        <f t="shared" si="36"/>
        <v>0</v>
      </c>
      <c r="O420" s="152">
        <f>+IF(OR($R420=Parametres!$G$2,$R420=Parametres!$G$3),J420,D420)</f>
        <v>0</v>
      </c>
      <c r="P420" s="1085">
        <f>+IF(OR($R420=Parametres!$G$2,$R420=Parametres!$G$3),K420,E420)</f>
        <v>0</v>
      </c>
      <c r="Q420" s="152">
        <f>+IF(OR($R420=Parametres!$G$2,$R420=Parametres!$G$3),L420,F420)</f>
        <v>0</v>
      </c>
      <c r="R420" s="151">
        <f t="shared" si="37"/>
        <v>0</v>
      </c>
      <c r="S420" s="150">
        <f t="shared" si="38"/>
        <v>0</v>
      </c>
      <c r="T420" s="151">
        <f t="shared" si="39"/>
        <v>0</v>
      </c>
      <c r="U420" s="153" t="e">
        <f>+VLOOKUP($M420,Data_Validation!$A:$D,1,0)</f>
        <v>#N/A</v>
      </c>
      <c r="V420" s="153" t="e">
        <f>+VLOOKUP($M420,Data_Validation!$A:$D,3,0)</f>
        <v>#N/A</v>
      </c>
      <c r="W420" s="153" t="e">
        <f>+VLOOKUP($M420,Data_Validation!$A:$D,4,0)</f>
        <v>#N/A</v>
      </c>
      <c r="X420" s="153" t="e">
        <f>+VLOOKUP($M420,Data_Validation!$A:$E,5,0)</f>
        <v>#N/A</v>
      </c>
      <c r="Y420" s="153" t="e">
        <f>+VLOOKUP($M420,Data_Validation!$A:$F,6,0)</f>
        <v>#N/A</v>
      </c>
    </row>
    <row r="421" spans="2:25" ht="15" customHeight="1">
      <c r="B421" s="1398"/>
      <c r="C421" s="1401"/>
      <c r="D421" s="1400"/>
      <c r="E421" s="1400"/>
      <c r="F421" s="1400"/>
      <c r="G421" s="1398"/>
      <c r="H421" s="1398"/>
      <c r="I421" s="948"/>
      <c r="J421" s="951"/>
      <c r="K421" s="951"/>
      <c r="L421" s="951"/>
      <c r="M421" s="150">
        <f t="shared" si="35"/>
        <v>0</v>
      </c>
      <c r="N421" s="151">
        <f t="shared" si="36"/>
        <v>0</v>
      </c>
      <c r="O421" s="152">
        <f>+IF(OR($R421=Parametres!$G$2,$R421=Parametres!$G$3),J421,D421)</f>
        <v>0</v>
      </c>
      <c r="P421" s="1085">
        <f>+IF(OR($R421=Parametres!$G$2,$R421=Parametres!$G$3),K421,E421)</f>
        <v>0</v>
      </c>
      <c r="Q421" s="152">
        <f>+IF(OR($R421=Parametres!$G$2,$R421=Parametres!$G$3),L421,F421)</f>
        <v>0</v>
      </c>
      <c r="R421" s="151">
        <f t="shared" si="37"/>
        <v>0</v>
      </c>
      <c r="S421" s="150">
        <f t="shared" si="38"/>
        <v>0</v>
      </c>
      <c r="T421" s="151">
        <f t="shared" si="39"/>
        <v>0</v>
      </c>
      <c r="U421" s="153" t="e">
        <f>+VLOOKUP($M421,Data_Validation!$A:$D,1,0)</f>
        <v>#N/A</v>
      </c>
      <c r="V421" s="153" t="e">
        <f>+VLOOKUP($M421,Data_Validation!$A:$D,3,0)</f>
        <v>#N/A</v>
      </c>
      <c r="W421" s="153" t="e">
        <f>+VLOOKUP($M421,Data_Validation!$A:$D,4,0)</f>
        <v>#N/A</v>
      </c>
      <c r="X421" s="153" t="e">
        <f>+VLOOKUP($M421,Data_Validation!$A:$E,5,0)</f>
        <v>#N/A</v>
      </c>
      <c r="Y421" s="153" t="e">
        <f>+VLOOKUP($M421,Data_Validation!$A:$F,6,0)</f>
        <v>#N/A</v>
      </c>
    </row>
    <row r="422" spans="2:25" ht="15" customHeight="1">
      <c r="B422" s="1398"/>
      <c r="C422" s="1401"/>
      <c r="D422" s="1400"/>
      <c r="E422" s="1400"/>
      <c r="F422" s="1400"/>
      <c r="G422" s="1398"/>
      <c r="H422" s="1398"/>
      <c r="I422" s="948"/>
      <c r="J422" s="951"/>
      <c r="K422" s="951"/>
      <c r="L422" s="951"/>
      <c r="M422" s="150">
        <f t="shared" si="35"/>
        <v>0</v>
      </c>
      <c r="N422" s="151">
        <f t="shared" si="36"/>
        <v>0</v>
      </c>
      <c r="O422" s="152">
        <f>+IF(OR($R422=Parametres!$G$2,$R422=Parametres!$G$3),J422,D422)</f>
        <v>0</v>
      </c>
      <c r="P422" s="1085">
        <f>+IF(OR($R422=Parametres!$G$2,$R422=Parametres!$G$3),K422,E422)</f>
        <v>0</v>
      </c>
      <c r="Q422" s="152">
        <f>+IF(OR($R422=Parametres!$G$2,$R422=Parametres!$G$3),L422,F422)</f>
        <v>0</v>
      </c>
      <c r="R422" s="151">
        <f t="shared" si="37"/>
        <v>0</v>
      </c>
      <c r="S422" s="150">
        <f t="shared" si="38"/>
        <v>0</v>
      </c>
      <c r="T422" s="151">
        <f t="shared" si="39"/>
        <v>0</v>
      </c>
      <c r="U422" s="153" t="e">
        <f>+VLOOKUP($M422,Data_Validation!$A:$D,1,0)</f>
        <v>#N/A</v>
      </c>
      <c r="V422" s="153" t="e">
        <f>+VLOOKUP($M422,Data_Validation!$A:$D,3,0)</f>
        <v>#N/A</v>
      </c>
      <c r="W422" s="153" t="e">
        <f>+VLOOKUP($M422,Data_Validation!$A:$D,4,0)</f>
        <v>#N/A</v>
      </c>
      <c r="X422" s="153" t="e">
        <f>+VLOOKUP($M422,Data_Validation!$A:$E,5,0)</f>
        <v>#N/A</v>
      </c>
      <c r="Y422" s="153" t="e">
        <f>+VLOOKUP($M422,Data_Validation!$A:$F,6,0)</f>
        <v>#N/A</v>
      </c>
    </row>
    <row r="423" spans="2:25" ht="15" customHeight="1">
      <c r="B423" s="1398"/>
      <c r="C423" s="1401"/>
      <c r="D423" s="1400"/>
      <c r="E423" s="1400"/>
      <c r="F423" s="1400"/>
      <c r="G423" s="1398"/>
      <c r="H423" s="1398"/>
      <c r="I423" s="989"/>
      <c r="J423" s="990"/>
      <c r="K423" s="990"/>
      <c r="L423" s="990"/>
      <c r="M423" s="150">
        <f t="shared" si="35"/>
        <v>0</v>
      </c>
      <c r="N423" s="151">
        <f t="shared" si="36"/>
        <v>0</v>
      </c>
      <c r="O423" s="152">
        <f>+IF(OR($R423=Parametres!$G$2,$R423=Parametres!$G$3),J423,D423)</f>
        <v>0</v>
      </c>
      <c r="P423" s="1085">
        <f>+IF(OR($R423=Parametres!$G$2,$R423=Parametres!$G$3),K423,E423)</f>
        <v>0</v>
      </c>
      <c r="Q423" s="152">
        <f>+IF(OR($R423=Parametres!$G$2,$R423=Parametres!$G$3),L423,F423)</f>
        <v>0</v>
      </c>
      <c r="R423" s="151">
        <f t="shared" si="37"/>
        <v>0</v>
      </c>
      <c r="S423" s="150">
        <f t="shared" si="38"/>
        <v>0</v>
      </c>
      <c r="T423" s="151">
        <f t="shared" si="39"/>
        <v>0</v>
      </c>
      <c r="U423" s="153" t="e">
        <f>+VLOOKUP($M423,Data_Validation!$A:$D,1,0)</f>
        <v>#N/A</v>
      </c>
      <c r="V423" s="153" t="e">
        <f>+VLOOKUP($M423,Data_Validation!$A:$D,3,0)</f>
        <v>#N/A</v>
      </c>
      <c r="W423" s="153" t="e">
        <f>+VLOOKUP($M423,Data_Validation!$A:$D,4,0)</f>
        <v>#N/A</v>
      </c>
      <c r="X423" s="153" t="e">
        <f>+VLOOKUP($M423,Data_Validation!$A:$E,5,0)</f>
        <v>#N/A</v>
      </c>
      <c r="Y423" s="153" t="e">
        <f>+VLOOKUP($M423,Data_Validation!$A:$F,6,0)</f>
        <v>#N/A</v>
      </c>
    </row>
    <row r="424" spans="2:25" ht="15" customHeight="1">
      <c r="B424" s="1398"/>
      <c r="C424" s="1401"/>
      <c r="D424" s="1400"/>
      <c r="E424" s="1400"/>
      <c r="F424" s="1400"/>
      <c r="G424" s="1398"/>
      <c r="H424" s="1398"/>
      <c r="I424" s="1195"/>
      <c r="J424" s="1196"/>
      <c r="K424" s="1196"/>
      <c r="L424" s="1196"/>
      <c r="M424" s="150">
        <f t="shared" si="35"/>
        <v>0</v>
      </c>
      <c r="N424" s="151">
        <f t="shared" si="36"/>
        <v>0</v>
      </c>
      <c r="O424" s="152">
        <f>+IF(OR($R424=Parametres!$G$2,$R424=Parametres!$G$3),J424,D424)</f>
        <v>0</v>
      </c>
      <c r="P424" s="1085">
        <f>+IF(OR($R424=Parametres!$G$2,$R424=Parametres!$G$3),K424,E424)</f>
        <v>0</v>
      </c>
      <c r="Q424" s="152">
        <f>+IF(OR($R424=Parametres!$G$2,$R424=Parametres!$G$3),L424,F424)</f>
        <v>0</v>
      </c>
      <c r="R424" s="151">
        <f t="shared" si="37"/>
        <v>0</v>
      </c>
      <c r="S424" s="150">
        <f t="shared" si="38"/>
        <v>0</v>
      </c>
      <c r="T424" s="151">
        <f t="shared" si="39"/>
        <v>0</v>
      </c>
      <c r="U424" s="153" t="e">
        <f>+VLOOKUP($M424,Data_Validation!$A:$D,1,0)</f>
        <v>#N/A</v>
      </c>
      <c r="V424" s="153" t="e">
        <f>+VLOOKUP($M424,Data_Validation!$A:$D,3,0)</f>
        <v>#N/A</v>
      </c>
      <c r="W424" s="153" t="e">
        <f>+VLOOKUP($M424,Data_Validation!$A:$D,4,0)</f>
        <v>#N/A</v>
      </c>
      <c r="X424" s="153" t="e">
        <f>+VLOOKUP($M424,Data_Validation!$A:$E,5,0)</f>
        <v>#N/A</v>
      </c>
      <c r="Y424" s="153" t="e">
        <f>+VLOOKUP($M424,Data_Validation!$A:$F,6,0)</f>
        <v>#N/A</v>
      </c>
    </row>
    <row r="425" spans="2:25" ht="15.75" customHeight="1">
      <c r="B425" s="1398"/>
      <c r="C425" s="1401"/>
      <c r="D425" s="1400"/>
      <c r="E425" s="1400"/>
      <c r="F425" s="1400"/>
      <c r="G425" s="1398"/>
      <c r="H425" s="1398"/>
      <c r="I425" s="1195"/>
      <c r="J425" s="1194"/>
      <c r="K425" s="1195"/>
      <c r="L425" s="1194"/>
      <c r="M425" s="150">
        <f t="shared" si="35"/>
        <v>0</v>
      </c>
      <c r="N425" s="151">
        <f t="shared" si="36"/>
        <v>0</v>
      </c>
      <c r="O425" s="152">
        <f>+IF(OR($R425=Parametres!$G$2,$R425=Parametres!$G$3),J425,D425)</f>
        <v>0</v>
      </c>
      <c r="P425" s="1085">
        <f>+IF(OR($R425=Parametres!$G$2,$R425=Parametres!$G$3),K425,E425)</f>
        <v>0</v>
      </c>
      <c r="Q425" s="152">
        <f>+IF(OR($R425=Parametres!$G$2,$R425=Parametres!$G$3),L425,F425)</f>
        <v>0</v>
      </c>
      <c r="R425" s="151">
        <f t="shared" si="37"/>
        <v>0</v>
      </c>
      <c r="S425" s="150">
        <f t="shared" si="38"/>
        <v>0</v>
      </c>
      <c r="T425" s="151">
        <f t="shared" si="39"/>
        <v>0</v>
      </c>
      <c r="U425" s="153" t="e">
        <f>+VLOOKUP($M425,Data_Validation!$A:$D,1,0)</f>
        <v>#N/A</v>
      </c>
      <c r="V425" s="153" t="e">
        <f>+VLOOKUP($M425,Data_Validation!$A:$D,3,0)</f>
        <v>#N/A</v>
      </c>
      <c r="W425" s="153" t="e">
        <f>+VLOOKUP($M425,Data_Validation!$A:$D,4,0)</f>
        <v>#N/A</v>
      </c>
      <c r="X425" s="153" t="e">
        <f>+VLOOKUP($M425,Data_Validation!$A:$E,5,0)</f>
        <v>#N/A</v>
      </c>
      <c r="Y425" s="153" t="e">
        <f>+VLOOKUP($M425,Data_Validation!$A:$F,6,0)</f>
        <v>#N/A</v>
      </c>
    </row>
    <row r="426" spans="2:25" ht="15" customHeight="1">
      <c r="B426" s="1398"/>
      <c r="C426" s="1401"/>
      <c r="D426" s="1400"/>
      <c r="E426" s="1400"/>
      <c r="F426" s="1400"/>
      <c r="G426" s="1398"/>
      <c r="H426" s="1398"/>
      <c r="I426" s="928"/>
      <c r="J426" s="927"/>
      <c r="K426" s="927"/>
      <c r="L426" s="927"/>
      <c r="M426" s="150">
        <f t="shared" si="35"/>
        <v>0</v>
      </c>
      <c r="N426" s="151">
        <f t="shared" si="36"/>
        <v>0</v>
      </c>
      <c r="O426" s="152">
        <f>+IF(OR($R426=Parametres!$G$2,$R426=Parametres!$G$3),J426,D426)</f>
        <v>0</v>
      </c>
      <c r="P426" s="1085">
        <f>+IF(OR($R426=Parametres!$G$2,$R426=Parametres!$G$3),K426,E426)</f>
        <v>0</v>
      </c>
      <c r="Q426" s="152">
        <f>+IF(OR($R426=Parametres!$G$2,$R426=Parametres!$G$3),L426,F426)</f>
        <v>0</v>
      </c>
      <c r="R426" s="151">
        <f t="shared" si="37"/>
        <v>0</v>
      </c>
      <c r="S426" s="150">
        <f t="shared" si="38"/>
        <v>0</v>
      </c>
      <c r="T426" s="151">
        <f t="shared" si="39"/>
        <v>0</v>
      </c>
      <c r="U426" s="153" t="e">
        <f>+VLOOKUP($M426,Data_Validation!$A:$D,1,0)</f>
        <v>#N/A</v>
      </c>
      <c r="V426" s="153" t="e">
        <f>+VLOOKUP($M426,Data_Validation!$A:$D,3,0)</f>
        <v>#N/A</v>
      </c>
      <c r="W426" s="153" t="e">
        <f>+VLOOKUP($M426,Data_Validation!$A:$D,4,0)</f>
        <v>#N/A</v>
      </c>
      <c r="X426" s="153" t="e">
        <f>+VLOOKUP($M426,Data_Validation!$A:$E,5,0)</f>
        <v>#N/A</v>
      </c>
      <c r="Y426" s="153" t="e">
        <f>+VLOOKUP($M426,Data_Validation!$A:$F,6,0)</f>
        <v>#N/A</v>
      </c>
    </row>
    <row r="427" spans="2:25" ht="15" customHeight="1">
      <c r="B427" s="1398"/>
      <c r="C427" s="1401"/>
      <c r="D427" s="1400"/>
      <c r="E427" s="1400"/>
      <c r="F427" s="1400"/>
      <c r="G427" s="1398"/>
      <c r="H427" s="1398"/>
      <c r="I427" s="1195"/>
      <c r="J427" s="1196"/>
      <c r="K427" s="1196"/>
      <c r="L427" s="1196"/>
      <c r="M427" s="150">
        <f t="shared" si="35"/>
        <v>0</v>
      </c>
      <c r="N427" s="151">
        <f t="shared" si="36"/>
        <v>0</v>
      </c>
      <c r="O427" s="152">
        <f>+IF(OR($R427=Parametres!$G$2,$R427=Parametres!$G$3),J427,D427)</f>
        <v>0</v>
      </c>
      <c r="P427" s="1085">
        <f>+IF(OR($R427=Parametres!$G$2,$R427=Parametres!$G$3),K427,E427)</f>
        <v>0</v>
      </c>
      <c r="Q427" s="152">
        <f>+IF(OR($R427=Parametres!$G$2,$R427=Parametres!$G$3),L427,F427)</f>
        <v>0</v>
      </c>
      <c r="R427" s="151">
        <f t="shared" si="37"/>
        <v>0</v>
      </c>
      <c r="S427" s="150">
        <f t="shared" si="38"/>
        <v>0</v>
      </c>
      <c r="T427" s="151">
        <f t="shared" si="39"/>
        <v>0</v>
      </c>
      <c r="U427" s="153" t="e">
        <f>+VLOOKUP($M427,Data_Validation!$A:$D,1,0)</f>
        <v>#N/A</v>
      </c>
      <c r="V427" s="153" t="e">
        <f>+VLOOKUP($M427,Data_Validation!$A:$D,3,0)</f>
        <v>#N/A</v>
      </c>
      <c r="W427" s="153" t="e">
        <f>+VLOOKUP($M427,Data_Validation!$A:$D,4,0)</f>
        <v>#N/A</v>
      </c>
      <c r="X427" s="153" t="e">
        <f>+VLOOKUP($M427,Data_Validation!$A:$E,5,0)</f>
        <v>#N/A</v>
      </c>
      <c r="Y427" s="153" t="e">
        <f>+VLOOKUP($M427,Data_Validation!$A:$F,6,0)</f>
        <v>#N/A</v>
      </c>
    </row>
    <row r="428" spans="2:25" ht="15" customHeight="1">
      <c r="B428" s="1398"/>
      <c r="C428" s="1401"/>
      <c r="D428" s="1400"/>
      <c r="E428" s="1400"/>
      <c r="F428" s="1400"/>
      <c r="G428" s="1398"/>
      <c r="H428" s="1398"/>
      <c r="I428" s="1195"/>
      <c r="J428" s="1194"/>
      <c r="K428" s="1195"/>
      <c r="L428" s="1194"/>
      <c r="M428" s="150">
        <f t="shared" si="35"/>
        <v>0</v>
      </c>
      <c r="N428" s="151">
        <f t="shared" si="36"/>
        <v>0</v>
      </c>
      <c r="O428" s="152">
        <f>+IF(OR($R428=Parametres!$G$2,$R428=Parametres!$G$3),J428,D428)</f>
        <v>0</v>
      </c>
      <c r="P428" s="1085">
        <f>+IF(OR($R428=Parametres!$G$2,$R428=Parametres!$G$3),K428,E428)</f>
        <v>0</v>
      </c>
      <c r="Q428" s="152">
        <f>+IF(OR($R428=Parametres!$G$2,$R428=Parametres!$G$3),L428,F428)</f>
        <v>0</v>
      </c>
      <c r="R428" s="151">
        <f t="shared" si="37"/>
        <v>0</v>
      </c>
      <c r="S428" s="150">
        <f t="shared" si="38"/>
        <v>0</v>
      </c>
      <c r="T428" s="151">
        <f t="shared" si="39"/>
        <v>0</v>
      </c>
      <c r="U428" s="153" t="e">
        <f>+VLOOKUP($M428,Data_Validation!$A:$D,1,0)</f>
        <v>#N/A</v>
      </c>
      <c r="V428" s="153" t="e">
        <f>+VLOOKUP($M428,Data_Validation!$A:$D,3,0)</f>
        <v>#N/A</v>
      </c>
      <c r="W428" s="153" t="e">
        <f>+VLOOKUP($M428,Data_Validation!$A:$D,4,0)</f>
        <v>#N/A</v>
      </c>
      <c r="X428" s="153" t="e">
        <f>+VLOOKUP($M428,Data_Validation!$A:$E,5,0)</f>
        <v>#N/A</v>
      </c>
      <c r="Y428" s="153" t="e">
        <f>+VLOOKUP($M428,Data_Validation!$A:$F,6,0)</f>
        <v>#N/A</v>
      </c>
    </row>
    <row r="429" spans="2:25" ht="15" customHeight="1">
      <c r="B429" s="1398"/>
      <c r="C429" s="1401"/>
      <c r="D429" s="1400"/>
      <c r="E429" s="1400"/>
      <c r="F429" s="1400"/>
      <c r="G429" s="1398"/>
      <c r="H429" s="1398"/>
      <c r="I429" s="948"/>
      <c r="J429" s="949"/>
      <c r="K429" s="949"/>
      <c r="L429" s="949"/>
      <c r="M429" s="150">
        <f t="shared" si="35"/>
        <v>0</v>
      </c>
      <c r="N429" s="151">
        <f t="shared" si="36"/>
        <v>0</v>
      </c>
      <c r="O429" s="152">
        <f>+IF(OR($R429=Parametres!$G$2,$R429=Parametres!$G$3),J429,D429)</f>
        <v>0</v>
      </c>
      <c r="P429" s="1085">
        <f>+IF(OR($R429=Parametres!$G$2,$R429=Parametres!$G$3),K429,E429)</f>
        <v>0</v>
      </c>
      <c r="Q429" s="152">
        <f>+IF(OR($R429=Parametres!$G$2,$R429=Parametres!$G$3),L429,F429)</f>
        <v>0</v>
      </c>
      <c r="R429" s="151">
        <f t="shared" si="37"/>
        <v>0</v>
      </c>
      <c r="S429" s="150">
        <f t="shared" si="38"/>
        <v>0</v>
      </c>
      <c r="T429" s="151">
        <f t="shared" si="39"/>
        <v>0</v>
      </c>
      <c r="U429" s="153" t="e">
        <f>+VLOOKUP($M429,Data_Validation!$A:$D,1,0)</f>
        <v>#N/A</v>
      </c>
      <c r="V429" s="153" t="e">
        <f>+VLOOKUP($M429,Data_Validation!$A:$D,3,0)</f>
        <v>#N/A</v>
      </c>
      <c r="W429" s="153" t="e">
        <f>+VLOOKUP($M429,Data_Validation!$A:$D,4,0)</f>
        <v>#N/A</v>
      </c>
      <c r="X429" s="153" t="e">
        <f>+VLOOKUP($M429,Data_Validation!$A:$E,5,0)</f>
        <v>#N/A</v>
      </c>
      <c r="Y429" s="153" t="e">
        <f>+VLOOKUP($M429,Data_Validation!$A:$F,6,0)</f>
        <v>#N/A</v>
      </c>
    </row>
    <row r="430" spans="2:25" ht="15" customHeight="1">
      <c r="B430" s="1398"/>
      <c r="C430" s="1401"/>
      <c r="D430" s="1400"/>
      <c r="E430" s="1400"/>
      <c r="F430" s="1400"/>
      <c r="G430" s="1398"/>
      <c r="H430" s="1398"/>
      <c r="I430" s="1195"/>
      <c r="J430" s="1194"/>
      <c r="K430" s="1195"/>
      <c r="L430" s="1194"/>
      <c r="M430" s="150">
        <f t="shared" si="35"/>
        <v>0</v>
      </c>
      <c r="N430" s="151">
        <f t="shared" si="36"/>
        <v>0</v>
      </c>
      <c r="O430" s="152">
        <f>+IF(OR($R430=Parametres!$G$2,$R430=Parametres!$G$3),J430,D430)</f>
        <v>0</v>
      </c>
      <c r="P430" s="1083">
        <f>+IF(OR($R430=Parametres!$G$2,$R430=Parametres!$G$3),K430,E430)</f>
        <v>0</v>
      </c>
      <c r="Q430" s="152">
        <f>+IF(OR($R430=Parametres!$G$2,$R430=Parametres!$G$3),L430,F430)</f>
        <v>0</v>
      </c>
      <c r="R430" s="151">
        <f t="shared" si="37"/>
        <v>0</v>
      </c>
      <c r="S430" s="150">
        <f t="shared" si="38"/>
        <v>0</v>
      </c>
      <c r="T430" s="151">
        <f t="shared" si="39"/>
        <v>0</v>
      </c>
      <c r="U430" s="153" t="e">
        <f>+VLOOKUP($M430,Data_Validation!$A:$D,1,0)</f>
        <v>#N/A</v>
      </c>
      <c r="V430" s="153" t="e">
        <f>+VLOOKUP($M430,Data_Validation!$A:$D,3,0)</f>
        <v>#N/A</v>
      </c>
      <c r="W430" s="153" t="e">
        <f>+VLOOKUP($M430,Data_Validation!$A:$D,4,0)</f>
        <v>#N/A</v>
      </c>
      <c r="X430" s="153" t="e">
        <f>+VLOOKUP($M430,Data_Validation!$A:$E,5,0)</f>
        <v>#N/A</v>
      </c>
      <c r="Y430" s="153" t="e">
        <f>+VLOOKUP($M430,Data_Validation!$A:$F,6,0)</f>
        <v>#N/A</v>
      </c>
    </row>
    <row r="431" spans="2:25" ht="15.75" customHeight="1">
      <c r="B431" s="1398"/>
      <c r="C431" s="1401"/>
      <c r="D431" s="1400"/>
      <c r="E431" s="1400"/>
      <c r="F431" s="1400"/>
      <c r="G431" s="1398"/>
      <c r="H431" s="1398"/>
      <c r="I431" s="1195"/>
      <c r="J431" s="1196"/>
      <c r="K431" s="1196"/>
      <c r="L431" s="1196"/>
      <c r="M431" s="150">
        <f t="shared" si="35"/>
        <v>0</v>
      </c>
      <c r="N431" s="151">
        <f t="shared" si="36"/>
        <v>0</v>
      </c>
      <c r="O431" s="152">
        <f>+IF(OR($R431=Parametres!$G$2,$R431=Parametres!$G$3),J431,D431)</f>
        <v>0</v>
      </c>
      <c r="P431" s="1085">
        <f>+IF(OR($R431=Parametres!$G$2,$R431=Parametres!$G$3),K431,E431)</f>
        <v>0</v>
      </c>
      <c r="Q431" s="152">
        <f>+IF(OR($R431=Parametres!$G$2,$R431=Parametres!$G$3),L431,F431)</f>
        <v>0</v>
      </c>
      <c r="R431" s="151">
        <f t="shared" si="37"/>
        <v>0</v>
      </c>
      <c r="S431" s="150">
        <f t="shared" si="38"/>
        <v>0</v>
      </c>
      <c r="T431" s="151">
        <f t="shared" si="39"/>
        <v>0</v>
      </c>
      <c r="U431" s="153" t="e">
        <f>+VLOOKUP($M431,Data_Validation!$A:$D,1,0)</f>
        <v>#N/A</v>
      </c>
      <c r="V431" s="153" t="e">
        <f>+VLOOKUP($M431,Data_Validation!$A:$D,3,0)</f>
        <v>#N/A</v>
      </c>
      <c r="W431" s="153" t="e">
        <f>+VLOOKUP($M431,Data_Validation!$A:$D,4,0)</f>
        <v>#N/A</v>
      </c>
      <c r="X431" s="153" t="e">
        <f>+VLOOKUP($M431,Data_Validation!$A:$E,5,0)</f>
        <v>#N/A</v>
      </c>
      <c r="Y431" s="153" t="e">
        <f>+VLOOKUP($M431,Data_Validation!$A:$F,6,0)</f>
        <v>#N/A</v>
      </c>
    </row>
    <row r="432" spans="2:25" ht="15" customHeight="1">
      <c r="B432" s="1398"/>
      <c r="C432" s="1401"/>
      <c r="D432" s="1400"/>
      <c r="E432" s="1400"/>
      <c r="F432" s="1400"/>
      <c r="G432" s="1398"/>
      <c r="H432" s="1398"/>
      <c r="I432" s="928"/>
      <c r="J432" s="1090"/>
      <c r="K432" s="928"/>
      <c r="L432" s="1090"/>
      <c r="M432" s="150">
        <f t="shared" si="35"/>
        <v>0</v>
      </c>
      <c r="N432" s="151">
        <f t="shared" si="36"/>
        <v>0</v>
      </c>
      <c r="O432" s="152">
        <f>+IF(OR($R432=Parametres!$G$2,$R432=Parametres!$G$3),J432,D432)</f>
        <v>0</v>
      </c>
      <c r="P432" s="1085">
        <f>+IF(OR($R432=Parametres!$G$2,$R432=Parametres!$G$3),K432,E432)</f>
        <v>0</v>
      </c>
      <c r="Q432" s="152">
        <f>+IF(OR($R432=Parametres!$G$2,$R432=Parametres!$G$3),L432,F432)</f>
        <v>0</v>
      </c>
      <c r="R432" s="151">
        <f t="shared" si="37"/>
        <v>0</v>
      </c>
      <c r="S432" s="150">
        <f t="shared" si="38"/>
        <v>0</v>
      </c>
      <c r="T432" s="151">
        <f t="shared" si="39"/>
        <v>0</v>
      </c>
      <c r="U432" s="153" t="e">
        <f>+VLOOKUP($M432,Data_Validation!$A:$D,1,0)</f>
        <v>#N/A</v>
      </c>
      <c r="V432" s="153" t="e">
        <f>+VLOOKUP($M432,Data_Validation!$A:$D,3,0)</f>
        <v>#N/A</v>
      </c>
      <c r="W432" s="153" t="e">
        <f>+VLOOKUP($M432,Data_Validation!$A:$D,4,0)</f>
        <v>#N/A</v>
      </c>
      <c r="X432" s="153" t="e">
        <f>+VLOOKUP($M432,Data_Validation!$A:$E,5,0)</f>
        <v>#N/A</v>
      </c>
      <c r="Y432" s="153" t="e">
        <f>+VLOOKUP($M432,Data_Validation!$A:$F,6,0)</f>
        <v>#N/A</v>
      </c>
    </row>
    <row r="433" spans="2:25" ht="15" customHeight="1">
      <c r="B433" s="1398"/>
      <c r="C433" s="1401"/>
      <c r="D433" s="1400"/>
      <c r="E433" s="1400"/>
      <c r="F433" s="1400"/>
      <c r="G433" s="1398"/>
      <c r="H433" s="1398"/>
      <c r="I433" s="1195"/>
      <c r="J433" s="1194"/>
      <c r="K433" s="1194"/>
      <c r="L433" s="1194"/>
      <c r="M433" s="150">
        <f t="shared" si="35"/>
        <v>0</v>
      </c>
      <c r="N433" s="151">
        <f t="shared" si="36"/>
        <v>0</v>
      </c>
      <c r="O433" s="152">
        <f>+IF(OR($R433=Parametres!$G$2,$R433=Parametres!$G$3),J433,D433)</f>
        <v>0</v>
      </c>
      <c r="P433" s="1085">
        <f>+IF(OR($R433=Parametres!$G$2,$R433=Parametres!$G$3),K433,E433)</f>
        <v>0</v>
      </c>
      <c r="Q433" s="152">
        <f>+IF(OR($R433=Parametres!$G$2,$R433=Parametres!$G$3),L433,F433)</f>
        <v>0</v>
      </c>
      <c r="R433" s="151">
        <f t="shared" si="37"/>
        <v>0</v>
      </c>
      <c r="S433" s="150">
        <f t="shared" si="38"/>
        <v>0</v>
      </c>
      <c r="T433" s="151">
        <f t="shared" si="39"/>
        <v>0</v>
      </c>
      <c r="U433" s="153" t="e">
        <f>+VLOOKUP($M433,Data_Validation!$A:$D,1,0)</f>
        <v>#N/A</v>
      </c>
      <c r="V433" s="153" t="e">
        <f>+VLOOKUP($M433,Data_Validation!$A:$D,3,0)</f>
        <v>#N/A</v>
      </c>
      <c r="W433" s="153" t="e">
        <f>+VLOOKUP($M433,Data_Validation!$A:$D,4,0)</f>
        <v>#N/A</v>
      </c>
      <c r="X433" s="153" t="e">
        <f>+VLOOKUP($M433,Data_Validation!$A:$E,5,0)</f>
        <v>#N/A</v>
      </c>
      <c r="Y433" s="153" t="e">
        <f>+VLOOKUP($M433,Data_Validation!$A:$F,6,0)</f>
        <v>#N/A</v>
      </c>
    </row>
    <row r="434" spans="2:25" ht="15" customHeight="1">
      <c r="B434" s="1398"/>
      <c r="C434" s="1401"/>
      <c r="D434" s="1400"/>
      <c r="E434" s="1400"/>
      <c r="F434" s="1400"/>
      <c r="G434" s="1398"/>
      <c r="H434" s="1398"/>
      <c r="I434" s="1195"/>
      <c r="J434" s="1196"/>
      <c r="K434" s="1196"/>
      <c r="L434" s="1196"/>
      <c r="M434" s="150">
        <f t="shared" si="35"/>
        <v>0</v>
      </c>
      <c r="N434" s="151">
        <f t="shared" si="36"/>
        <v>0</v>
      </c>
      <c r="O434" s="152">
        <f>+IF(OR($R434=Parametres!$G$2,$R434=Parametres!$G$3),J434,D434)</f>
        <v>0</v>
      </c>
      <c r="P434" s="1085">
        <f>+IF(OR($R434=Parametres!$G$2,$R434=Parametres!$G$3),K434,E434)</f>
        <v>0</v>
      </c>
      <c r="Q434" s="152">
        <f>+IF(OR($R434=Parametres!$G$2,$R434=Parametres!$G$3),L434,F434)</f>
        <v>0</v>
      </c>
      <c r="R434" s="151">
        <f t="shared" si="37"/>
        <v>0</v>
      </c>
      <c r="S434" s="150">
        <f t="shared" si="38"/>
        <v>0</v>
      </c>
      <c r="T434" s="151">
        <f t="shared" si="39"/>
        <v>0</v>
      </c>
      <c r="U434" s="153" t="e">
        <f>+VLOOKUP($M434,Data_Validation!$A:$D,1,0)</f>
        <v>#N/A</v>
      </c>
      <c r="V434" s="153" t="e">
        <f>+VLOOKUP($M434,Data_Validation!$A:$D,3,0)</f>
        <v>#N/A</v>
      </c>
      <c r="W434" s="153" t="e">
        <f>+VLOOKUP($M434,Data_Validation!$A:$D,4,0)</f>
        <v>#N/A</v>
      </c>
      <c r="X434" s="153" t="e">
        <f>+VLOOKUP($M434,Data_Validation!$A:$E,5,0)</f>
        <v>#N/A</v>
      </c>
      <c r="Y434" s="153" t="e">
        <f>+VLOOKUP($M434,Data_Validation!$A:$F,6,0)</f>
        <v>#N/A</v>
      </c>
    </row>
    <row r="435" spans="2:25" ht="15.75" customHeight="1">
      <c r="B435" s="1398"/>
      <c r="C435" s="1401"/>
      <c r="D435" s="1400"/>
      <c r="E435" s="1400"/>
      <c r="F435" s="1400"/>
      <c r="G435" s="1398"/>
      <c r="H435" s="1398"/>
      <c r="I435" s="1195"/>
      <c r="J435" s="1194"/>
      <c r="K435" s="1195"/>
      <c r="L435" s="1194"/>
      <c r="M435" s="150">
        <f t="shared" si="35"/>
        <v>0</v>
      </c>
      <c r="N435" s="151">
        <f t="shared" si="36"/>
        <v>0</v>
      </c>
      <c r="O435" s="152">
        <f>+IF(OR($R435=Parametres!$G$2,$R435=Parametres!$G$3),J435,D435)</f>
        <v>0</v>
      </c>
      <c r="P435" s="1085">
        <f>+IF(OR($R435=Parametres!$G$2,$R435=Parametres!$G$3),K435,E435)</f>
        <v>0</v>
      </c>
      <c r="Q435" s="152">
        <f>+IF(OR($R435=Parametres!$G$2,$R435=Parametres!$G$3),L435,F435)</f>
        <v>0</v>
      </c>
      <c r="R435" s="151">
        <f t="shared" si="37"/>
        <v>0</v>
      </c>
      <c r="S435" s="150">
        <f t="shared" si="38"/>
        <v>0</v>
      </c>
      <c r="T435" s="151">
        <f t="shared" si="39"/>
        <v>0</v>
      </c>
      <c r="U435" s="153" t="e">
        <f>+VLOOKUP($M435,Data_Validation!$A:$D,1,0)</f>
        <v>#N/A</v>
      </c>
      <c r="V435" s="153" t="e">
        <f>+VLOOKUP($M435,Data_Validation!$A:$D,3,0)</f>
        <v>#N/A</v>
      </c>
      <c r="W435" s="153" t="e">
        <f>+VLOOKUP($M435,Data_Validation!$A:$D,4,0)</f>
        <v>#N/A</v>
      </c>
      <c r="X435" s="153" t="e">
        <f>+VLOOKUP($M435,Data_Validation!$A:$E,5,0)</f>
        <v>#N/A</v>
      </c>
      <c r="Y435" s="153" t="e">
        <f>+VLOOKUP($M435,Data_Validation!$A:$F,6,0)</f>
        <v>#N/A</v>
      </c>
    </row>
    <row r="436" spans="2:25" ht="15" customHeight="1">
      <c r="B436" s="1398"/>
      <c r="C436" s="1401"/>
      <c r="D436" s="1400"/>
      <c r="E436" s="1400"/>
      <c r="F436" s="1400"/>
      <c r="G436" s="1398"/>
      <c r="H436" s="1398"/>
      <c r="I436" s="1198"/>
      <c r="J436" s="1199"/>
      <c r="K436" s="1199"/>
      <c r="L436" s="1199"/>
      <c r="M436" s="150">
        <f t="shared" si="35"/>
        <v>0</v>
      </c>
      <c r="N436" s="151">
        <f t="shared" si="36"/>
        <v>0</v>
      </c>
      <c r="O436" s="152">
        <f>+IF(OR($R436=Parametres!$G$2,$R436=Parametres!$G$3),J436,D436)</f>
        <v>0</v>
      </c>
      <c r="P436" s="1085">
        <f>+IF(OR($R436=Parametres!$G$2,$R436=Parametres!$G$3),K436,E436)</f>
        <v>0</v>
      </c>
      <c r="Q436" s="152">
        <f>+IF(OR($R436=Parametres!$G$2,$R436=Parametres!$G$3),L436,F436)</f>
        <v>0</v>
      </c>
      <c r="R436" s="151">
        <f t="shared" si="37"/>
        <v>0</v>
      </c>
      <c r="S436" s="150">
        <f t="shared" si="38"/>
        <v>0</v>
      </c>
      <c r="T436" s="151">
        <f t="shared" si="39"/>
        <v>0</v>
      </c>
      <c r="U436" s="153" t="e">
        <f>+VLOOKUP($M436,Data_Validation!$A:$D,1,0)</f>
        <v>#N/A</v>
      </c>
      <c r="V436" s="153" t="e">
        <f>+VLOOKUP($M436,Data_Validation!$A:$D,3,0)</f>
        <v>#N/A</v>
      </c>
      <c r="W436" s="153" t="e">
        <f>+VLOOKUP($M436,Data_Validation!$A:$D,4,0)</f>
        <v>#N/A</v>
      </c>
      <c r="X436" s="153" t="e">
        <f>+VLOOKUP($M436,Data_Validation!$A:$E,5,0)</f>
        <v>#N/A</v>
      </c>
      <c r="Y436" s="153" t="e">
        <f>+VLOOKUP($M436,Data_Validation!$A:$F,6,0)</f>
        <v>#N/A</v>
      </c>
    </row>
    <row r="437" spans="2:25" ht="15" customHeight="1">
      <c r="B437" s="1398"/>
      <c r="C437" s="1401"/>
      <c r="D437" s="1400"/>
      <c r="E437" s="1400"/>
      <c r="F437" s="1400"/>
      <c r="G437" s="1398"/>
      <c r="H437" s="1398"/>
      <c r="I437" s="948"/>
      <c r="J437" s="951"/>
      <c r="K437" s="951"/>
      <c r="L437" s="951"/>
      <c r="M437" s="150">
        <f t="shared" si="35"/>
        <v>0</v>
      </c>
      <c r="N437" s="151">
        <f t="shared" si="36"/>
        <v>0</v>
      </c>
      <c r="O437" s="152">
        <f>+IF(OR($R437=Parametres!$G$2,$R437=Parametres!$G$3),J437,D437)</f>
        <v>0</v>
      </c>
      <c r="P437" s="1085">
        <f>+IF(OR($R437=Parametres!$G$2,$R437=Parametres!$G$3),K437,E437)</f>
        <v>0</v>
      </c>
      <c r="Q437" s="152">
        <f>+IF(OR($R437=Parametres!$G$2,$R437=Parametres!$G$3),L437,F437)</f>
        <v>0</v>
      </c>
      <c r="R437" s="151">
        <f t="shared" si="37"/>
        <v>0</v>
      </c>
      <c r="S437" s="150">
        <f t="shared" si="38"/>
        <v>0</v>
      </c>
      <c r="T437" s="151">
        <f t="shared" si="39"/>
        <v>0</v>
      </c>
      <c r="U437" s="153" t="e">
        <f>+VLOOKUP($M437,Data_Validation!$A:$D,1,0)</f>
        <v>#N/A</v>
      </c>
      <c r="V437" s="153" t="e">
        <f>+VLOOKUP($M437,Data_Validation!$A:$D,3,0)</f>
        <v>#N/A</v>
      </c>
      <c r="W437" s="153" t="e">
        <f>+VLOOKUP($M437,Data_Validation!$A:$D,4,0)</f>
        <v>#N/A</v>
      </c>
      <c r="X437" s="153" t="e">
        <f>+VLOOKUP($M437,Data_Validation!$A:$E,5,0)</f>
        <v>#N/A</v>
      </c>
      <c r="Y437" s="153" t="e">
        <f>+VLOOKUP($M437,Data_Validation!$A:$F,6,0)</f>
        <v>#N/A</v>
      </c>
    </row>
    <row r="438" spans="2:25" ht="15" customHeight="1">
      <c r="B438" s="1398"/>
      <c r="C438" s="1401"/>
      <c r="D438" s="1400"/>
      <c r="E438" s="1400"/>
      <c r="F438" s="1400"/>
      <c r="G438" s="1398"/>
      <c r="H438" s="1398"/>
      <c r="I438" s="948"/>
      <c r="J438" s="949"/>
      <c r="K438" s="949"/>
      <c r="L438" s="949"/>
      <c r="M438" s="150">
        <f t="shared" si="35"/>
        <v>0</v>
      </c>
      <c r="N438" s="151">
        <f t="shared" si="36"/>
        <v>0</v>
      </c>
      <c r="O438" s="152">
        <f>+IF(OR($R438=Parametres!$G$2,$R438=Parametres!$G$3),J438,D438)</f>
        <v>0</v>
      </c>
      <c r="P438" s="1085">
        <f>+IF(OR($R438=Parametres!$G$2,$R438=Parametres!$G$3),K438,E438)</f>
        <v>0</v>
      </c>
      <c r="Q438" s="152">
        <f>+IF(OR($R438=Parametres!$G$2,$R438=Parametres!$G$3),L438,F438)</f>
        <v>0</v>
      </c>
      <c r="R438" s="151">
        <f t="shared" si="37"/>
        <v>0</v>
      </c>
      <c r="S438" s="150">
        <f t="shared" si="38"/>
        <v>0</v>
      </c>
      <c r="T438" s="151">
        <f t="shared" si="39"/>
        <v>0</v>
      </c>
      <c r="U438" s="153" t="e">
        <f>+VLOOKUP($M438,Data_Validation!$A:$D,1,0)</f>
        <v>#N/A</v>
      </c>
      <c r="V438" s="153" t="e">
        <f>+VLOOKUP($M438,Data_Validation!$A:$D,3,0)</f>
        <v>#N/A</v>
      </c>
      <c r="W438" s="153" t="e">
        <f>+VLOOKUP($M438,Data_Validation!$A:$D,4,0)</f>
        <v>#N/A</v>
      </c>
      <c r="X438" s="153" t="e">
        <f>+VLOOKUP($M438,Data_Validation!$A:$E,5,0)</f>
        <v>#N/A</v>
      </c>
      <c r="Y438" s="153" t="e">
        <f>+VLOOKUP($M438,Data_Validation!$A:$F,6,0)</f>
        <v>#N/A</v>
      </c>
    </row>
    <row r="439" spans="2:25" ht="15" customHeight="1">
      <c r="B439" s="1398"/>
      <c r="C439" s="1401"/>
      <c r="D439" s="1400"/>
      <c r="E439" s="1400"/>
      <c r="F439" s="1400"/>
      <c r="G439" s="1398"/>
      <c r="H439" s="1398"/>
      <c r="I439" s="928"/>
      <c r="J439" s="927"/>
      <c r="K439" s="927"/>
      <c r="L439" s="927"/>
      <c r="M439" s="150">
        <f t="shared" ref="M439:M449" si="40">+C439</f>
        <v>0</v>
      </c>
      <c r="N439" s="151">
        <f t="shared" ref="N439:N449" si="41">+B439</f>
        <v>0</v>
      </c>
      <c r="O439" s="152">
        <f>+IF(OR($R439=Parametres!$G$2,$R439=Parametres!$G$3),J439,D439)</f>
        <v>0</v>
      </c>
      <c r="P439" s="1085">
        <f>+IF(OR($R439=Parametres!$G$2,$R439=Parametres!$G$3),K439,E439)</f>
        <v>0</v>
      </c>
      <c r="Q439" s="152">
        <f>+IF(OR($R439=Parametres!$G$2,$R439=Parametres!$G$3),L439,F439)</f>
        <v>0</v>
      </c>
      <c r="R439" s="151">
        <f t="shared" ref="R439:R449" si="42">+G439</f>
        <v>0</v>
      </c>
      <c r="S439" s="150">
        <f t="shared" ref="S439:S449" si="43">+H439</f>
        <v>0</v>
      </c>
      <c r="T439" s="151">
        <f t="shared" ref="T439:T449" si="44">+I439</f>
        <v>0</v>
      </c>
      <c r="U439" s="153" t="e">
        <f>+VLOOKUP($M439,Data_Validation!$A:$D,1,0)</f>
        <v>#N/A</v>
      </c>
      <c r="V439" s="153" t="e">
        <f>+VLOOKUP($M439,Data_Validation!$A:$D,3,0)</f>
        <v>#N/A</v>
      </c>
      <c r="W439" s="153" t="e">
        <f>+VLOOKUP($M439,Data_Validation!$A:$D,4,0)</f>
        <v>#N/A</v>
      </c>
      <c r="X439" s="153" t="e">
        <f>+VLOOKUP($M439,Data_Validation!$A:$E,5,0)</f>
        <v>#N/A</v>
      </c>
      <c r="Y439" s="153" t="e">
        <f>+VLOOKUP($M439,Data_Validation!$A:$F,6,0)</f>
        <v>#N/A</v>
      </c>
    </row>
    <row r="440" spans="2:25" ht="15" customHeight="1">
      <c r="B440" s="1398"/>
      <c r="C440" s="1401"/>
      <c r="D440" s="1400"/>
      <c r="E440" s="1400"/>
      <c r="F440" s="1400"/>
      <c r="G440" s="1398"/>
      <c r="H440" s="1398"/>
      <c r="I440" s="1198"/>
      <c r="J440" s="1198"/>
      <c r="K440" s="1198"/>
      <c r="L440" s="1198"/>
      <c r="M440" s="150">
        <f t="shared" si="40"/>
        <v>0</v>
      </c>
      <c r="N440" s="151">
        <f t="shared" si="41"/>
        <v>0</v>
      </c>
      <c r="O440" s="152">
        <f>+IF(OR($R440=Parametres!$G$2,$R440=Parametres!$G$3),J440,D440)</f>
        <v>0</v>
      </c>
      <c r="P440" s="1085">
        <f>+IF(OR($R440=Parametres!$G$2,$R440=Parametres!$G$3),K440,E440)</f>
        <v>0</v>
      </c>
      <c r="Q440" s="152">
        <f>+IF(OR($R440=Parametres!$G$2,$R440=Parametres!$G$3),L440,F440)</f>
        <v>0</v>
      </c>
      <c r="R440" s="151">
        <f t="shared" si="42"/>
        <v>0</v>
      </c>
      <c r="S440" s="150">
        <f t="shared" si="43"/>
        <v>0</v>
      </c>
      <c r="T440" s="151">
        <f t="shared" si="44"/>
        <v>0</v>
      </c>
      <c r="U440" s="153" t="e">
        <f>+VLOOKUP($M440,Data_Validation!$A:$D,1,0)</f>
        <v>#N/A</v>
      </c>
      <c r="V440" s="153" t="e">
        <f>+VLOOKUP($M440,Data_Validation!$A:$D,3,0)</f>
        <v>#N/A</v>
      </c>
      <c r="W440" s="153" t="e">
        <f>+VLOOKUP($M440,Data_Validation!$A:$D,4,0)</f>
        <v>#N/A</v>
      </c>
      <c r="X440" s="153" t="e">
        <f>+VLOOKUP($M440,Data_Validation!$A:$E,5,0)</f>
        <v>#N/A</v>
      </c>
      <c r="Y440" s="153" t="e">
        <f>+VLOOKUP($M440,Data_Validation!$A:$F,6,0)</f>
        <v>#N/A</v>
      </c>
    </row>
    <row r="441" spans="2:25" ht="15.75" customHeight="1">
      <c r="B441" s="1398"/>
      <c r="C441" s="1401"/>
      <c r="D441" s="1400"/>
      <c r="E441" s="1400"/>
      <c r="F441" s="1400"/>
      <c r="G441" s="1398"/>
      <c r="H441" s="1398"/>
      <c r="I441" s="1198"/>
      <c r="J441" s="1198"/>
      <c r="K441" s="1198"/>
      <c r="L441" s="1198"/>
      <c r="M441" s="150">
        <f t="shared" si="40"/>
        <v>0</v>
      </c>
      <c r="N441" s="151">
        <f t="shared" si="41"/>
        <v>0</v>
      </c>
      <c r="O441" s="152">
        <f>+IF(OR($R441=Parametres!$G$2,$R441=Parametres!$G$3),J441,D441)</f>
        <v>0</v>
      </c>
      <c r="P441" s="1085">
        <f>+IF(OR($R441=Parametres!$G$2,$R441=Parametres!$G$3),K441,E441)</f>
        <v>0</v>
      </c>
      <c r="Q441" s="152">
        <f>+IF(OR($R441=Parametres!$G$2,$R441=Parametres!$G$3),L441,F441)</f>
        <v>0</v>
      </c>
      <c r="R441" s="151">
        <f t="shared" si="42"/>
        <v>0</v>
      </c>
      <c r="S441" s="150">
        <f t="shared" si="43"/>
        <v>0</v>
      </c>
      <c r="T441" s="151">
        <f t="shared" si="44"/>
        <v>0</v>
      </c>
      <c r="U441" s="153" t="e">
        <f>+VLOOKUP($M441,Data_Validation!$A:$D,1,0)</f>
        <v>#N/A</v>
      </c>
      <c r="V441" s="153" t="e">
        <f>+VLOOKUP($M441,Data_Validation!$A:$D,3,0)</f>
        <v>#N/A</v>
      </c>
      <c r="W441" s="153" t="e">
        <f>+VLOOKUP($M441,Data_Validation!$A:$D,4,0)</f>
        <v>#N/A</v>
      </c>
      <c r="X441" s="153" t="e">
        <f>+VLOOKUP($M441,Data_Validation!$A:$E,5,0)</f>
        <v>#N/A</v>
      </c>
      <c r="Y441" s="153" t="e">
        <f>+VLOOKUP($M441,Data_Validation!$A:$F,6,0)</f>
        <v>#N/A</v>
      </c>
    </row>
    <row r="442" spans="2:25" ht="15" customHeight="1">
      <c r="B442" s="1398"/>
      <c r="C442" s="1401"/>
      <c r="D442" s="1400"/>
      <c r="E442" s="1400"/>
      <c r="F442" s="1400"/>
      <c r="G442" s="1398"/>
      <c r="H442" s="1398"/>
      <c r="I442" s="1198"/>
      <c r="J442" s="1198"/>
      <c r="K442" s="1198"/>
      <c r="L442" s="1198"/>
      <c r="M442" s="150">
        <f t="shared" si="40"/>
        <v>0</v>
      </c>
      <c r="N442" s="151">
        <f t="shared" si="41"/>
        <v>0</v>
      </c>
      <c r="O442" s="152">
        <f>+IF(OR($R442=Parametres!$G$2,$R442=Parametres!$G$3),J442,D442)</f>
        <v>0</v>
      </c>
      <c r="P442" s="1085">
        <f>+IF(OR($R442=Parametres!$G$2,$R442=Parametres!$G$3),K442,E442)</f>
        <v>0</v>
      </c>
      <c r="Q442" s="152">
        <f>+IF(OR($R442=Parametres!$G$2,$R442=Parametres!$G$3),L442,F442)</f>
        <v>0</v>
      </c>
      <c r="R442" s="151">
        <f t="shared" si="42"/>
        <v>0</v>
      </c>
      <c r="S442" s="150">
        <f t="shared" si="43"/>
        <v>0</v>
      </c>
      <c r="T442" s="151">
        <f t="shared" si="44"/>
        <v>0</v>
      </c>
      <c r="U442" s="153" t="e">
        <f>+VLOOKUP($M442,Data_Validation!$A:$D,1,0)</f>
        <v>#N/A</v>
      </c>
      <c r="V442" s="153" t="e">
        <f>+VLOOKUP($M442,Data_Validation!$A:$D,3,0)</f>
        <v>#N/A</v>
      </c>
      <c r="W442" s="153" t="e">
        <f>+VLOOKUP($M442,Data_Validation!$A:$D,4,0)</f>
        <v>#N/A</v>
      </c>
      <c r="X442" s="153" t="e">
        <f>+VLOOKUP($M442,Data_Validation!$A:$E,5,0)</f>
        <v>#N/A</v>
      </c>
      <c r="Y442" s="153" t="e">
        <f>+VLOOKUP($M442,Data_Validation!$A:$F,6,0)</f>
        <v>#N/A</v>
      </c>
    </row>
    <row r="443" spans="2:25" ht="15" customHeight="1">
      <c r="B443" s="1398"/>
      <c r="C443" s="1401"/>
      <c r="D443" s="1400"/>
      <c r="E443" s="1400"/>
      <c r="F443" s="1400"/>
      <c r="G443" s="1398"/>
      <c r="H443" s="1398"/>
      <c r="I443" s="1198"/>
      <c r="J443" s="1198"/>
      <c r="K443" s="1198"/>
      <c r="L443" s="1198"/>
      <c r="M443" s="150">
        <f t="shared" si="40"/>
        <v>0</v>
      </c>
      <c r="N443" s="151">
        <f t="shared" si="41"/>
        <v>0</v>
      </c>
      <c r="O443" s="152">
        <f>+IF(OR($R443=Parametres!$G$2,$R443=Parametres!$G$3),J443,D443)</f>
        <v>0</v>
      </c>
      <c r="P443" s="1086">
        <f>+IF(OR($R443=Parametres!$G$2,$R443=Parametres!$G$3),K443,E443)</f>
        <v>0</v>
      </c>
      <c r="Q443" s="152">
        <f>+IF(OR($R443=Parametres!$G$2,$R443=Parametres!$G$3),L443,F443)</f>
        <v>0</v>
      </c>
      <c r="R443" s="151">
        <f t="shared" si="42"/>
        <v>0</v>
      </c>
      <c r="S443" s="150">
        <f t="shared" si="43"/>
        <v>0</v>
      </c>
      <c r="T443" s="151">
        <f t="shared" si="44"/>
        <v>0</v>
      </c>
      <c r="U443" s="153" t="e">
        <f>+VLOOKUP($M443,Data_Validation!$A:$D,1,0)</f>
        <v>#N/A</v>
      </c>
      <c r="V443" s="153" t="e">
        <f>+VLOOKUP($M443,Data_Validation!$A:$D,3,0)</f>
        <v>#N/A</v>
      </c>
      <c r="W443" s="153" t="e">
        <f>+VLOOKUP($M443,Data_Validation!$A:$D,4,0)</f>
        <v>#N/A</v>
      </c>
      <c r="X443" s="153" t="e">
        <f>+VLOOKUP($M443,Data_Validation!$A:$E,5,0)</f>
        <v>#N/A</v>
      </c>
      <c r="Y443" s="153" t="e">
        <f>+VLOOKUP($M443,Data_Validation!$A:$F,6,0)</f>
        <v>#N/A</v>
      </c>
    </row>
    <row r="444" spans="2:25" ht="15" customHeight="1">
      <c r="B444" s="1398"/>
      <c r="C444" s="1401"/>
      <c r="D444" s="1400"/>
      <c r="E444" s="1400"/>
      <c r="F444" s="1400"/>
      <c r="G444" s="1398"/>
      <c r="H444" s="1398"/>
      <c r="I444" s="1198"/>
      <c r="J444" s="1198"/>
      <c r="K444" s="1198"/>
      <c r="L444" s="1198"/>
      <c r="M444" s="150">
        <f t="shared" si="40"/>
        <v>0</v>
      </c>
      <c r="N444" s="151">
        <f t="shared" si="41"/>
        <v>0</v>
      </c>
      <c r="O444" s="152">
        <f>+IF(OR($R444=Parametres!$G$2,$R444=Parametres!$G$3),J444,D444)</f>
        <v>0</v>
      </c>
      <c r="P444" s="1083">
        <f>+IF(OR($R444=Parametres!$G$2,$R444=Parametres!$G$3),K444,E444)</f>
        <v>0</v>
      </c>
      <c r="Q444" s="152">
        <f>+IF(OR($R444=Parametres!$G$2,$R444=Parametres!$G$3),L444,F444)</f>
        <v>0</v>
      </c>
      <c r="R444" s="151">
        <f t="shared" si="42"/>
        <v>0</v>
      </c>
      <c r="S444" s="150">
        <f t="shared" si="43"/>
        <v>0</v>
      </c>
      <c r="T444" s="151">
        <f t="shared" si="44"/>
        <v>0</v>
      </c>
      <c r="U444" s="153" t="e">
        <f>+VLOOKUP($M444,Data_Validation!$A:$D,1,0)</f>
        <v>#N/A</v>
      </c>
      <c r="V444" s="153" t="e">
        <f>+VLOOKUP($M444,Data_Validation!$A:$D,3,0)</f>
        <v>#N/A</v>
      </c>
      <c r="W444" s="153" t="e">
        <f>+VLOOKUP($M444,Data_Validation!$A:$D,4,0)</f>
        <v>#N/A</v>
      </c>
      <c r="X444" s="153" t="e">
        <f>+VLOOKUP($M444,Data_Validation!$A:$E,5,0)</f>
        <v>#N/A</v>
      </c>
      <c r="Y444" s="153" t="e">
        <f>+VLOOKUP($M444,Data_Validation!$A:$F,6,0)</f>
        <v>#N/A</v>
      </c>
    </row>
    <row r="445" spans="2:25" ht="15" customHeight="1">
      <c r="B445" s="1398"/>
      <c r="C445" s="1401"/>
      <c r="D445" s="1400"/>
      <c r="E445" s="1400"/>
      <c r="F445" s="1400"/>
      <c r="G445" s="1398"/>
      <c r="H445" s="1398"/>
      <c r="I445" s="1198"/>
      <c r="J445" s="1198"/>
      <c r="K445" s="1198"/>
      <c r="L445" s="1198"/>
      <c r="M445" s="150">
        <f t="shared" si="40"/>
        <v>0</v>
      </c>
      <c r="N445" s="151">
        <f t="shared" si="41"/>
        <v>0</v>
      </c>
      <c r="O445" s="152">
        <f>+IF(OR($R445=Parametres!$G$2,$R445=Parametres!$G$3),J445,D445)</f>
        <v>0</v>
      </c>
      <c r="P445" s="1085">
        <f>+IF(OR($R445=Parametres!$G$2,$R445=Parametres!$G$3),K445,E445)</f>
        <v>0</v>
      </c>
      <c r="Q445" s="152">
        <f>+IF(OR($R445=Parametres!$G$2,$R445=Parametres!$G$3),L445,F445)</f>
        <v>0</v>
      </c>
      <c r="R445" s="151">
        <f t="shared" si="42"/>
        <v>0</v>
      </c>
      <c r="S445" s="150">
        <f t="shared" si="43"/>
        <v>0</v>
      </c>
      <c r="T445" s="151">
        <f t="shared" si="44"/>
        <v>0</v>
      </c>
      <c r="U445" s="153" t="e">
        <f>+VLOOKUP($M445,Data_Validation!$A:$D,1,0)</f>
        <v>#N/A</v>
      </c>
      <c r="V445" s="153" t="e">
        <f>+VLOOKUP($M445,Data_Validation!$A:$D,3,0)</f>
        <v>#N/A</v>
      </c>
      <c r="W445" s="153" t="e">
        <f>+VLOOKUP($M445,Data_Validation!$A:$D,4,0)</f>
        <v>#N/A</v>
      </c>
      <c r="X445" s="153" t="e">
        <f>+VLOOKUP($M445,Data_Validation!$A:$E,5,0)</f>
        <v>#N/A</v>
      </c>
      <c r="Y445" s="153" t="e">
        <f>+VLOOKUP($M445,Data_Validation!$A:$F,6,0)</f>
        <v>#N/A</v>
      </c>
    </row>
    <row r="446" spans="2:25" ht="15.75" customHeight="1">
      <c r="B446" s="1398"/>
      <c r="C446" s="1401"/>
      <c r="D446" s="1400"/>
      <c r="E446" s="1400"/>
      <c r="F446" s="1400"/>
      <c r="G446" s="1398"/>
      <c r="H446" s="1398"/>
      <c r="I446" s="1198"/>
      <c r="J446" s="1198"/>
      <c r="K446" s="1198"/>
      <c r="L446" s="1198"/>
      <c r="M446" s="150">
        <f t="shared" si="40"/>
        <v>0</v>
      </c>
      <c r="N446" s="151">
        <f t="shared" si="41"/>
        <v>0</v>
      </c>
      <c r="O446" s="152">
        <f>+IF(OR($R446=Parametres!$G$2,$R446=Parametres!$G$3),J446,D446)</f>
        <v>0</v>
      </c>
      <c r="P446" s="1085">
        <f>+IF(OR($R446=Parametres!$G$2,$R446=Parametres!$G$3),K446,E446)</f>
        <v>0</v>
      </c>
      <c r="Q446" s="152">
        <f>+IF(OR($R446=Parametres!$G$2,$R446=Parametres!$G$3),L446,F446)</f>
        <v>0</v>
      </c>
      <c r="R446" s="151">
        <f t="shared" si="42"/>
        <v>0</v>
      </c>
      <c r="S446" s="150">
        <f t="shared" si="43"/>
        <v>0</v>
      </c>
      <c r="T446" s="151">
        <f t="shared" si="44"/>
        <v>0</v>
      </c>
      <c r="U446" s="153" t="e">
        <f>+VLOOKUP($M446,Data_Validation!$A:$D,1,0)</f>
        <v>#N/A</v>
      </c>
      <c r="V446" s="153" t="e">
        <f>+VLOOKUP($M446,Data_Validation!$A:$D,3,0)</f>
        <v>#N/A</v>
      </c>
      <c r="W446" s="153" t="e">
        <f>+VLOOKUP($M446,Data_Validation!$A:$D,4,0)</f>
        <v>#N/A</v>
      </c>
      <c r="X446" s="153" t="e">
        <f>+VLOOKUP($M446,Data_Validation!$A:$E,5,0)</f>
        <v>#N/A</v>
      </c>
      <c r="Y446" s="153" t="e">
        <f>+VLOOKUP($M446,Data_Validation!$A:$F,6,0)</f>
        <v>#N/A</v>
      </c>
    </row>
    <row r="447" spans="2:25" ht="15.75" customHeight="1">
      <c r="B447" s="1398"/>
      <c r="C447" s="1401"/>
      <c r="D447" s="1400"/>
      <c r="E447" s="1400"/>
      <c r="F447" s="1400"/>
      <c r="G447" s="1398"/>
      <c r="H447" s="1398"/>
      <c r="I447" s="1198"/>
      <c r="J447" s="1198"/>
      <c r="K447" s="1198"/>
      <c r="L447" s="1198"/>
      <c r="M447" s="150">
        <f t="shared" si="40"/>
        <v>0</v>
      </c>
      <c r="N447" s="151">
        <f t="shared" si="41"/>
        <v>0</v>
      </c>
      <c r="O447" s="152">
        <f>+IF(OR($R447=Parametres!$G$2,$R447=Parametres!$G$3),J447,D447)</f>
        <v>0</v>
      </c>
      <c r="P447" s="1083">
        <f>+IF(OR($R447=Parametres!$G$2,$R447=Parametres!$G$3),K447,E447)</f>
        <v>0</v>
      </c>
      <c r="Q447" s="152">
        <f>+IF(OR($R447=Parametres!$G$2,$R447=Parametres!$G$3),L447,F447)</f>
        <v>0</v>
      </c>
      <c r="R447" s="151">
        <f t="shared" si="42"/>
        <v>0</v>
      </c>
      <c r="S447" s="150">
        <f t="shared" si="43"/>
        <v>0</v>
      </c>
      <c r="T447" s="151">
        <f t="shared" si="44"/>
        <v>0</v>
      </c>
      <c r="U447" s="153" t="e">
        <f>+VLOOKUP($M447,Data_Validation!$A:$D,1,0)</f>
        <v>#N/A</v>
      </c>
      <c r="V447" s="153" t="e">
        <f>+VLOOKUP($M447,Data_Validation!$A:$D,3,0)</f>
        <v>#N/A</v>
      </c>
      <c r="W447" s="153" t="e">
        <f>+VLOOKUP($M447,Data_Validation!$A:$D,4,0)</f>
        <v>#N/A</v>
      </c>
      <c r="X447" s="153" t="e">
        <f>+VLOOKUP($M447,Data_Validation!$A:$E,5,0)</f>
        <v>#N/A</v>
      </c>
      <c r="Y447" s="153" t="e">
        <f>+VLOOKUP($M447,Data_Validation!$A:$F,6,0)</f>
        <v>#N/A</v>
      </c>
    </row>
    <row r="448" spans="2:25" ht="15" customHeight="1">
      <c r="B448" s="1398"/>
      <c r="C448" s="1401"/>
      <c r="D448" s="1400"/>
      <c r="E448" s="1400"/>
      <c r="F448" s="1400"/>
      <c r="G448" s="1398"/>
      <c r="H448" s="1398"/>
      <c r="I448" s="1198"/>
      <c r="J448" s="1198"/>
      <c r="K448" s="1198"/>
      <c r="L448" s="1198"/>
      <c r="M448" s="150">
        <f t="shared" si="40"/>
        <v>0</v>
      </c>
      <c r="N448" s="151">
        <f t="shared" si="41"/>
        <v>0</v>
      </c>
      <c r="O448" s="152">
        <f>+IF(OR($R448=Parametres!$G$2,$R448=Parametres!$G$3),J448,D448)</f>
        <v>0</v>
      </c>
      <c r="P448" s="1085">
        <f>+IF(OR($R448=Parametres!$G$2,$R448=Parametres!$G$3),K448,E448)</f>
        <v>0</v>
      </c>
      <c r="Q448" s="152">
        <f>+IF(OR($R448=Parametres!$G$2,$R448=Parametres!$G$3),L448,F448)</f>
        <v>0</v>
      </c>
      <c r="R448" s="151">
        <f t="shared" si="42"/>
        <v>0</v>
      </c>
      <c r="S448" s="150">
        <f t="shared" si="43"/>
        <v>0</v>
      </c>
      <c r="T448" s="151">
        <f t="shared" si="44"/>
        <v>0</v>
      </c>
      <c r="U448" s="153" t="e">
        <f>+VLOOKUP($M448,Data_Validation!$A:$D,1,0)</f>
        <v>#N/A</v>
      </c>
      <c r="V448" s="153" t="e">
        <f>+VLOOKUP($M448,Data_Validation!$A:$D,3,0)</f>
        <v>#N/A</v>
      </c>
      <c r="W448" s="153" t="e">
        <f>+VLOOKUP($M448,Data_Validation!$A:$D,4,0)</f>
        <v>#N/A</v>
      </c>
      <c r="X448" s="153" t="e">
        <f>+VLOOKUP($M448,Data_Validation!$A:$E,5,0)</f>
        <v>#N/A</v>
      </c>
      <c r="Y448" s="153" t="e">
        <f>+VLOOKUP($M448,Data_Validation!$A:$F,6,0)</f>
        <v>#N/A</v>
      </c>
    </row>
    <row r="449" spans="2:25" ht="15" customHeight="1">
      <c r="B449" s="1398"/>
      <c r="C449" s="1401"/>
      <c r="D449" s="1400"/>
      <c r="E449" s="1400"/>
      <c r="F449" s="1400"/>
      <c r="G449" s="1398"/>
      <c r="H449" s="1398"/>
      <c r="I449" s="1399"/>
      <c r="J449" s="1399"/>
      <c r="K449" s="1399"/>
      <c r="L449" s="1399"/>
      <c r="M449" s="150">
        <f t="shared" si="40"/>
        <v>0</v>
      </c>
      <c r="N449" s="151">
        <f t="shared" si="41"/>
        <v>0</v>
      </c>
      <c r="O449" s="152">
        <f>+IF(OR($R449=Parametres!$G$2,$R449=Parametres!$G$3),J449,D449)</f>
        <v>0</v>
      </c>
      <c r="P449" s="1083">
        <f>+IF(OR($R449=Parametres!$G$2,$R449=Parametres!$G$3),K449,E449)</f>
        <v>0</v>
      </c>
      <c r="Q449" s="152">
        <f>+IF(OR($R449=Parametres!$G$2,$R449=Parametres!$G$3),L449,F449)</f>
        <v>0</v>
      </c>
      <c r="R449" s="151">
        <f t="shared" si="42"/>
        <v>0</v>
      </c>
      <c r="S449" s="150">
        <f t="shared" si="43"/>
        <v>0</v>
      </c>
      <c r="T449" s="151">
        <f t="shared" si="44"/>
        <v>0</v>
      </c>
      <c r="U449" s="153" t="e">
        <f>+VLOOKUP($M449,Data_Validation!$A:$D,1,0)</f>
        <v>#N/A</v>
      </c>
      <c r="V449" s="153" t="e">
        <f>+VLOOKUP($M449,Data_Validation!$A:$D,3,0)</f>
        <v>#N/A</v>
      </c>
      <c r="W449" s="153" t="e">
        <f>+VLOOKUP($M449,Data_Validation!$A:$D,4,0)</f>
        <v>#N/A</v>
      </c>
      <c r="X449" s="153" t="e">
        <f>+VLOOKUP($M449,Data_Validation!$A:$E,5,0)</f>
        <v>#N/A</v>
      </c>
      <c r="Y449" s="153" t="e">
        <f>+VLOOKUP($M449,Data_Validation!$A:$F,6,0)</f>
        <v>#N/A</v>
      </c>
    </row>
    <row r="450" spans="2:25" ht="15" customHeight="1">
      <c r="B450" s="1398"/>
      <c r="C450" s="1401"/>
      <c r="D450" s="1400"/>
      <c r="E450" s="1400"/>
      <c r="F450" s="1400"/>
      <c r="G450" s="1398"/>
      <c r="H450" s="1398"/>
      <c r="I450" s="1399"/>
      <c r="J450" s="1399"/>
      <c r="K450" s="1399"/>
      <c r="L450" s="1399"/>
      <c r="M450" s="150">
        <f t="shared" ref="M450:M453" si="45">+C450</f>
        <v>0</v>
      </c>
      <c r="N450" s="151">
        <f t="shared" ref="N450:N453" si="46">+B450</f>
        <v>0</v>
      </c>
      <c r="O450" s="152">
        <f>+IF(OR($R450=Parametres!$G$2,$R450=Parametres!$G$3),J450,D450)</f>
        <v>0</v>
      </c>
      <c r="P450" s="1085">
        <f>+IF(OR($R450=Parametres!$G$2,$R450=Parametres!$G$3),K450,E450)</f>
        <v>0</v>
      </c>
      <c r="Q450" s="152">
        <f>+IF(OR($R450=Parametres!$G$2,$R450=Parametres!$G$3),L450,F450)</f>
        <v>0</v>
      </c>
      <c r="R450" s="151">
        <f t="shared" ref="R450:R453" si="47">+G450</f>
        <v>0</v>
      </c>
      <c r="S450" s="150">
        <f t="shared" ref="S450:S453" si="48">+H450</f>
        <v>0</v>
      </c>
      <c r="T450" s="151">
        <f t="shared" ref="T450:T453" si="49">+I450</f>
        <v>0</v>
      </c>
      <c r="U450" s="153" t="e">
        <f>+VLOOKUP($M450,Data_Validation!$A:$D,1,0)</f>
        <v>#N/A</v>
      </c>
      <c r="V450" s="153" t="e">
        <f>+VLOOKUP($M450,Data_Validation!$A:$D,3,0)</f>
        <v>#N/A</v>
      </c>
      <c r="W450" s="153" t="e">
        <f>+VLOOKUP($M450,Data_Validation!$A:$D,4,0)</f>
        <v>#N/A</v>
      </c>
      <c r="X450" s="153" t="e">
        <f>+VLOOKUP($M450,Data_Validation!$A:$E,5,0)</f>
        <v>#N/A</v>
      </c>
      <c r="Y450" s="153" t="e">
        <f>+VLOOKUP($M450,Data_Validation!$A:$F,6,0)</f>
        <v>#N/A</v>
      </c>
    </row>
    <row r="451" spans="2:25" ht="15.75" customHeight="1">
      <c r="B451" s="1398"/>
      <c r="C451" s="1401"/>
      <c r="D451" s="1400"/>
      <c r="E451" s="1400"/>
      <c r="F451" s="1400"/>
      <c r="G451" s="1398"/>
      <c r="H451" s="1398"/>
      <c r="I451" s="1399"/>
      <c r="J451" s="1399"/>
      <c r="K451" s="1399"/>
      <c r="L451" s="1399"/>
      <c r="M451" s="150">
        <f t="shared" si="45"/>
        <v>0</v>
      </c>
      <c r="N451" s="151">
        <f t="shared" si="46"/>
        <v>0</v>
      </c>
      <c r="O451" s="152">
        <f>+IF(OR($R451=Parametres!$G$2,$R451=Parametres!$G$3),J451,D451)</f>
        <v>0</v>
      </c>
      <c r="P451" s="1085">
        <f>+IF(OR($R451=Parametres!$G$2,$R451=Parametres!$G$3),K451,E451)</f>
        <v>0</v>
      </c>
      <c r="Q451" s="152">
        <f>+IF(OR($R451=Parametres!$G$2,$R451=Parametres!$G$3),L451,F451)</f>
        <v>0</v>
      </c>
      <c r="R451" s="151">
        <f t="shared" si="47"/>
        <v>0</v>
      </c>
      <c r="S451" s="150">
        <f t="shared" si="48"/>
        <v>0</v>
      </c>
      <c r="T451" s="151">
        <f t="shared" si="49"/>
        <v>0</v>
      </c>
      <c r="U451" s="153" t="e">
        <f>+VLOOKUP($M451,Data_Validation!$A:$D,1,0)</f>
        <v>#N/A</v>
      </c>
      <c r="V451" s="153" t="e">
        <f>+VLOOKUP($M451,Data_Validation!$A:$D,3,0)</f>
        <v>#N/A</v>
      </c>
      <c r="W451" s="153" t="e">
        <f>+VLOOKUP($M451,Data_Validation!$A:$D,4,0)</f>
        <v>#N/A</v>
      </c>
      <c r="X451" s="153" t="e">
        <f>+VLOOKUP($M451,Data_Validation!$A:$E,5,0)</f>
        <v>#N/A</v>
      </c>
      <c r="Y451" s="153" t="e">
        <f>+VLOOKUP($M451,Data_Validation!$A:$F,6,0)</f>
        <v>#N/A</v>
      </c>
    </row>
    <row r="452" spans="2:25" ht="15" customHeight="1">
      <c r="B452" s="1398"/>
      <c r="C452" s="1401"/>
      <c r="D452" s="1400"/>
      <c r="E452" s="1400"/>
      <c r="F452" s="1400"/>
      <c r="G452" s="1398"/>
      <c r="H452" s="1398"/>
      <c r="I452" s="1399"/>
      <c r="J452" s="1399"/>
      <c r="K452" s="1399"/>
      <c r="L452" s="1399"/>
      <c r="M452" s="150">
        <f t="shared" si="45"/>
        <v>0</v>
      </c>
      <c r="N452" s="151">
        <f t="shared" si="46"/>
        <v>0</v>
      </c>
      <c r="O452" s="152">
        <f>+IF(OR($R452=Parametres!$G$2,$R452=Parametres!$G$3),J452,D452)</f>
        <v>0</v>
      </c>
      <c r="P452" s="1085">
        <f>+IF(OR($R452=Parametres!$G$2,$R452=Parametres!$G$3),K452,E452)</f>
        <v>0</v>
      </c>
      <c r="Q452" s="152">
        <f>+IF(OR($R452=Parametres!$G$2,$R452=Parametres!$G$3),L452,F452)</f>
        <v>0</v>
      </c>
      <c r="R452" s="151">
        <f t="shared" si="47"/>
        <v>0</v>
      </c>
      <c r="S452" s="150">
        <f t="shared" si="48"/>
        <v>0</v>
      </c>
      <c r="T452" s="151">
        <f t="shared" si="49"/>
        <v>0</v>
      </c>
      <c r="U452" s="153" t="e">
        <f>+VLOOKUP($M452,Data_Validation!$A:$D,1,0)</f>
        <v>#N/A</v>
      </c>
      <c r="V452" s="153" t="e">
        <f>+VLOOKUP($M452,Data_Validation!$A:$D,3,0)</f>
        <v>#N/A</v>
      </c>
      <c r="W452" s="153" t="e">
        <f>+VLOOKUP($M452,Data_Validation!$A:$D,4,0)</f>
        <v>#N/A</v>
      </c>
      <c r="X452" s="153" t="e">
        <f>+VLOOKUP($M452,Data_Validation!$A:$E,5,0)</f>
        <v>#N/A</v>
      </c>
      <c r="Y452" s="153" t="e">
        <f>+VLOOKUP($M452,Data_Validation!$A:$F,6,0)</f>
        <v>#N/A</v>
      </c>
    </row>
    <row r="453" spans="2:25" ht="15" customHeight="1">
      <c r="B453" s="1398"/>
      <c r="C453" s="1398"/>
      <c r="D453" s="1399"/>
      <c r="E453" s="1399"/>
      <c r="F453" s="1399"/>
      <c r="G453" s="1398"/>
      <c r="H453" s="1398"/>
      <c r="I453" s="1399"/>
      <c r="J453" s="1400"/>
      <c r="K453" s="1400"/>
      <c r="L453" s="1400"/>
      <c r="M453" s="150">
        <f t="shared" si="45"/>
        <v>0</v>
      </c>
      <c r="N453" s="151">
        <f t="shared" si="46"/>
        <v>0</v>
      </c>
      <c r="O453" s="152">
        <f>+IF(OR($R453=Parametres!$G$2,$R453=Parametres!$G$3),J453,D453)</f>
        <v>0</v>
      </c>
      <c r="P453" s="1083">
        <f>+IF(OR($R453=Parametres!$G$2,$R453=Parametres!$G$3),K453,E453)</f>
        <v>0</v>
      </c>
      <c r="Q453" s="152">
        <f>+IF(OR($R453=Parametres!$G$2,$R453=Parametres!$G$3),L453,F453)</f>
        <v>0</v>
      </c>
      <c r="R453" s="151">
        <f t="shared" si="47"/>
        <v>0</v>
      </c>
      <c r="S453" s="150">
        <f t="shared" si="48"/>
        <v>0</v>
      </c>
      <c r="T453" s="151">
        <f t="shared" si="49"/>
        <v>0</v>
      </c>
      <c r="U453" s="153" t="e">
        <f>+VLOOKUP($M453,Data_Validation!$A:$D,1,0)</f>
        <v>#N/A</v>
      </c>
      <c r="V453" s="153" t="e">
        <f>+VLOOKUP($M453,Data_Validation!$A:$D,3,0)</f>
        <v>#N/A</v>
      </c>
      <c r="W453" s="153" t="e">
        <f>+VLOOKUP($M453,Data_Validation!$A:$D,4,0)</f>
        <v>#N/A</v>
      </c>
      <c r="X453" s="153" t="e">
        <f>+VLOOKUP($M453,Data_Validation!$A:$E,5,0)</f>
        <v>#N/A</v>
      </c>
      <c r="Y453" s="153" t="e">
        <f>+VLOOKUP($M453,Data_Validation!$A:$F,6,0)</f>
        <v>#N/A</v>
      </c>
    </row>
    <row r="454" spans="2:25" ht="15" customHeight="1">
      <c r="B454" s="1398"/>
      <c r="C454" s="1401"/>
      <c r="D454" s="1400"/>
      <c r="E454" s="1400"/>
      <c r="F454" s="1400"/>
      <c r="G454" s="1398"/>
      <c r="H454" s="1398"/>
      <c r="I454" s="1399"/>
      <c r="J454" s="1399"/>
      <c r="K454" s="1399"/>
      <c r="L454" s="1399"/>
      <c r="M454" s="150">
        <f t="shared" ref="M454:M460" si="50">+C454</f>
        <v>0</v>
      </c>
      <c r="N454" s="151">
        <f t="shared" ref="N454:N460" si="51">+B454</f>
        <v>0</v>
      </c>
      <c r="O454" s="152">
        <f>+IF(OR($R454=Parametres!$G$2,$R454=Parametres!$G$3),J454,D454)</f>
        <v>0</v>
      </c>
      <c r="P454" s="1083">
        <f>+IF(OR($R454=Parametres!$G$2,$R454=Parametres!$G$3),K454,E454)</f>
        <v>0</v>
      </c>
      <c r="Q454" s="152">
        <f>+IF(OR($R454=Parametres!$G$2,$R454=Parametres!$G$3),L454,F454)</f>
        <v>0</v>
      </c>
      <c r="R454" s="151">
        <f t="shared" ref="R454:R460" si="52">+G454</f>
        <v>0</v>
      </c>
      <c r="S454" s="150">
        <f t="shared" ref="S454:S460" si="53">+H454</f>
        <v>0</v>
      </c>
      <c r="T454" s="151">
        <f t="shared" ref="T454:T460" si="54">+I454</f>
        <v>0</v>
      </c>
      <c r="U454" s="153" t="e">
        <f>+VLOOKUP($M454,Data_Validation!$A:$D,1,0)</f>
        <v>#N/A</v>
      </c>
      <c r="V454" s="153" t="e">
        <f>+VLOOKUP($M454,Data_Validation!$A:$D,3,0)</f>
        <v>#N/A</v>
      </c>
      <c r="W454" s="153" t="e">
        <f>+VLOOKUP($M454,Data_Validation!$A:$D,4,0)</f>
        <v>#N/A</v>
      </c>
      <c r="X454" s="153" t="e">
        <f>+VLOOKUP($M454,Data_Validation!$A:$E,5,0)</f>
        <v>#N/A</v>
      </c>
      <c r="Y454" s="153" t="e">
        <f>+VLOOKUP($M454,Data_Validation!$A:$F,6,0)</f>
        <v>#N/A</v>
      </c>
    </row>
    <row r="455" spans="2:25" ht="15" customHeight="1">
      <c r="B455" s="1398"/>
      <c r="C455" s="1398"/>
      <c r="D455" s="1399"/>
      <c r="E455" s="1399"/>
      <c r="F455" s="1399"/>
      <c r="G455" s="1398"/>
      <c r="H455" s="1398"/>
      <c r="I455" s="1399"/>
      <c r="J455" s="1400"/>
      <c r="K455" s="1400"/>
      <c r="L455" s="1400"/>
      <c r="M455" s="150">
        <f t="shared" si="50"/>
        <v>0</v>
      </c>
      <c r="N455" s="151">
        <f t="shared" si="51"/>
        <v>0</v>
      </c>
      <c r="O455" s="152">
        <f>+IF(OR($R455=Parametres!$G$2,$R455=Parametres!$G$3),J455,D455)</f>
        <v>0</v>
      </c>
      <c r="P455" s="1083">
        <f>+IF(OR($R455=Parametres!$G$2,$R455=Parametres!$G$3),K455,E455)</f>
        <v>0</v>
      </c>
      <c r="Q455" s="152">
        <f>+IF(OR($R455=Parametres!$G$2,$R455=Parametres!$G$3),L455,F455)</f>
        <v>0</v>
      </c>
      <c r="R455" s="151">
        <f t="shared" si="52"/>
        <v>0</v>
      </c>
      <c r="S455" s="150">
        <f t="shared" si="53"/>
        <v>0</v>
      </c>
      <c r="T455" s="151">
        <f t="shared" si="54"/>
        <v>0</v>
      </c>
      <c r="U455" s="153" t="e">
        <f>+VLOOKUP($M455,Data_Validation!$A:$D,1,0)</f>
        <v>#N/A</v>
      </c>
      <c r="V455" s="153" t="e">
        <f>+VLOOKUP($M455,Data_Validation!$A:$D,3,0)</f>
        <v>#N/A</v>
      </c>
      <c r="W455" s="153" t="e">
        <f>+VLOOKUP($M455,Data_Validation!$A:$D,4,0)</f>
        <v>#N/A</v>
      </c>
      <c r="X455" s="153" t="e">
        <f>+VLOOKUP($M455,Data_Validation!$A:$E,5,0)</f>
        <v>#N/A</v>
      </c>
      <c r="Y455" s="153" t="e">
        <f>+VLOOKUP($M455,Data_Validation!$A:$F,6,0)</f>
        <v>#N/A</v>
      </c>
    </row>
    <row r="456" spans="2:25" ht="15" customHeight="1">
      <c r="B456" s="1398"/>
      <c r="C456" s="1401"/>
      <c r="D456" s="1400"/>
      <c r="E456" s="1400"/>
      <c r="F456" s="1400"/>
      <c r="G456" s="1398"/>
      <c r="H456" s="1398"/>
      <c r="I456" s="1399"/>
      <c r="J456" s="1399"/>
      <c r="K456" s="1399"/>
      <c r="L456" s="1399"/>
      <c r="M456" s="150">
        <f t="shared" si="50"/>
        <v>0</v>
      </c>
      <c r="N456" s="151">
        <f t="shared" si="51"/>
        <v>0</v>
      </c>
      <c r="O456" s="152">
        <f>+IF(OR($R456=Parametres!$G$2,$R456=Parametres!$G$3),J456,D456)</f>
        <v>0</v>
      </c>
      <c r="P456" s="1083">
        <f>+IF(OR($R456=Parametres!$G$2,$R456=Parametres!$G$3),K456,E456)</f>
        <v>0</v>
      </c>
      <c r="Q456" s="152">
        <f>+IF(OR($R456=Parametres!$G$2,$R456=Parametres!$G$3),L456,F456)</f>
        <v>0</v>
      </c>
      <c r="R456" s="151">
        <f t="shared" si="52"/>
        <v>0</v>
      </c>
      <c r="S456" s="150">
        <f t="shared" si="53"/>
        <v>0</v>
      </c>
      <c r="T456" s="151">
        <f t="shared" si="54"/>
        <v>0</v>
      </c>
      <c r="U456" s="153" t="e">
        <f>+VLOOKUP($M456,Data_Validation!$A:$D,1,0)</f>
        <v>#N/A</v>
      </c>
      <c r="V456" s="153" t="e">
        <f>+VLOOKUP($M456,Data_Validation!$A:$D,3,0)</f>
        <v>#N/A</v>
      </c>
      <c r="W456" s="153" t="e">
        <f>+VLOOKUP($M456,Data_Validation!$A:$D,4,0)</f>
        <v>#N/A</v>
      </c>
      <c r="X456" s="153" t="e">
        <f>+VLOOKUP($M456,Data_Validation!$A:$E,5,0)</f>
        <v>#N/A</v>
      </c>
      <c r="Y456" s="153" t="e">
        <f>+VLOOKUP($M456,Data_Validation!$A:$F,6,0)</f>
        <v>#N/A</v>
      </c>
    </row>
    <row r="457" spans="2:25" ht="15" customHeight="1">
      <c r="B457" s="1398"/>
      <c r="C457" s="1401"/>
      <c r="D457" s="1400"/>
      <c r="E457" s="1400"/>
      <c r="F457" s="1400"/>
      <c r="G457" s="1398"/>
      <c r="H457" s="1398"/>
      <c r="I457" s="1399"/>
      <c r="J457" s="1399"/>
      <c r="K457" s="1399"/>
      <c r="L457" s="1399"/>
      <c r="M457" s="150">
        <f t="shared" si="50"/>
        <v>0</v>
      </c>
      <c r="N457" s="151">
        <f t="shared" si="51"/>
        <v>0</v>
      </c>
      <c r="O457" s="152">
        <f>+IF(OR($R457=Parametres!$G$2,$R457=Parametres!$G$3),J457,D457)</f>
        <v>0</v>
      </c>
      <c r="P457" s="1083">
        <f>+IF(OR($R457=Parametres!$G$2,$R457=Parametres!$G$3),K457,E457)</f>
        <v>0</v>
      </c>
      <c r="Q457" s="152">
        <f>+IF(OR($R457=Parametres!$G$2,$R457=Parametres!$G$3),L457,F457)</f>
        <v>0</v>
      </c>
      <c r="R457" s="151">
        <f t="shared" si="52"/>
        <v>0</v>
      </c>
      <c r="S457" s="150">
        <f t="shared" si="53"/>
        <v>0</v>
      </c>
      <c r="T457" s="151">
        <f t="shared" si="54"/>
        <v>0</v>
      </c>
      <c r="U457" s="153" t="e">
        <f>+VLOOKUP($M457,Data_Validation!$A:$D,1,0)</f>
        <v>#N/A</v>
      </c>
      <c r="V457" s="153" t="e">
        <f>+VLOOKUP($M457,Data_Validation!$A:$D,3,0)</f>
        <v>#N/A</v>
      </c>
      <c r="W457" s="153" t="e">
        <f>+VLOOKUP($M457,Data_Validation!$A:$D,4,0)</f>
        <v>#N/A</v>
      </c>
      <c r="X457" s="153" t="e">
        <f>+VLOOKUP($M457,Data_Validation!$A:$E,5,0)</f>
        <v>#N/A</v>
      </c>
      <c r="Y457" s="153" t="e">
        <f>+VLOOKUP($M457,Data_Validation!$A:$F,6,0)</f>
        <v>#N/A</v>
      </c>
    </row>
    <row r="458" spans="2:25" ht="15" customHeight="1">
      <c r="B458" s="1398"/>
      <c r="C458" s="1398"/>
      <c r="D458" s="1399"/>
      <c r="E458" s="1399"/>
      <c r="F458" s="1399"/>
      <c r="G458" s="1398"/>
      <c r="H458" s="1398"/>
      <c r="I458" s="1399"/>
      <c r="J458" s="1400"/>
      <c r="K458" s="1400"/>
      <c r="L458" s="1400"/>
      <c r="M458" s="150">
        <f t="shared" si="50"/>
        <v>0</v>
      </c>
      <c r="N458" s="151">
        <f t="shared" si="51"/>
        <v>0</v>
      </c>
      <c r="O458" s="152">
        <f>+IF(OR($R458=Parametres!$G$2,$R458=Parametres!$G$3),J458,D458)</f>
        <v>0</v>
      </c>
      <c r="P458" s="1083">
        <f>+IF(OR($R458=Parametres!$G$2,$R458=Parametres!$G$3),K458,E458)</f>
        <v>0</v>
      </c>
      <c r="Q458" s="152">
        <f>+IF(OR($R458=Parametres!$G$2,$R458=Parametres!$G$3),L458,F458)</f>
        <v>0</v>
      </c>
      <c r="R458" s="151">
        <f t="shared" si="52"/>
        <v>0</v>
      </c>
      <c r="S458" s="150">
        <f t="shared" si="53"/>
        <v>0</v>
      </c>
      <c r="T458" s="151">
        <f t="shared" si="54"/>
        <v>0</v>
      </c>
      <c r="U458" s="153" t="e">
        <f>+VLOOKUP($M458,Data_Validation!$A:$D,1,0)</f>
        <v>#N/A</v>
      </c>
      <c r="V458" s="153" t="e">
        <f>+VLOOKUP($M458,Data_Validation!$A:$D,3,0)</f>
        <v>#N/A</v>
      </c>
      <c r="W458" s="153" t="e">
        <f>+VLOOKUP($M458,Data_Validation!$A:$D,4,0)</f>
        <v>#N/A</v>
      </c>
      <c r="X458" s="153" t="e">
        <f>+VLOOKUP($M458,Data_Validation!$A:$E,5,0)</f>
        <v>#N/A</v>
      </c>
      <c r="Y458" s="153" t="e">
        <f>+VLOOKUP($M458,Data_Validation!$A:$F,6,0)</f>
        <v>#N/A</v>
      </c>
    </row>
    <row r="459" spans="2:25" ht="15" customHeight="1">
      <c r="B459" s="1398"/>
      <c r="C459" s="1401"/>
      <c r="D459" s="1400"/>
      <c r="E459" s="1400"/>
      <c r="F459" s="1400"/>
      <c r="G459" s="1398"/>
      <c r="H459" s="1398"/>
      <c r="I459" s="1399"/>
      <c r="J459" s="1399"/>
      <c r="K459" s="1399"/>
      <c r="L459" s="1399"/>
      <c r="M459" s="150">
        <f t="shared" si="50"/>
        <v>0</v>
      </c>
      <c r="N459" s="151">
        <f t="shared" si="51"/>
        <v>0</v>
      </c>
      <c r="O459" s="152">
        <f>+IF(OR($R459=Parametres!$G$2,$R459=Parametres!$G$3),J459,D459)</f>
        <v>0</v>
      </c>
      <c r="P459" s="1083">
        <f>+IF(OR($R459=Parametres!$G$2,$R459=Parametres!$G$3),K459,E459)</f>
        <v>0</v>
      </c>
      <c r="Q459" s="152">
        <f>+IF(OR($R459=Parametres!$G$2,$R459=Parametres!$G$3),L459,F459)</f>
        <v>0</v>
      </c>
      <c r="R459" s="151">
        <f t="shared" si="52"/>
        <v>0</v>
      </c>
      <c r="S459" s="150">
        <f t="shared" si="53"/>
        <v>0</v>
      </c>
      <c r="T459" s="151">
        <f t="shared" si="54"/>
        <v>0</v>
      </c>
      <c r="U459" s="153" t="e">
        <f>+VLOOKUP($M459,Data_Validation!$A:$D,1,0)</f>
        <v>#N/A</v>
      </c>
      <c r="V459" s="153" t="e">
        <f>+VLOOKUP($M459,Data_Validation!$A:$D,3,0)</f>
        <v>#N/A</v>
      </c>
      <c r="W459" s="153" t="e">
        <f>+VLOOKUP($M459,Data_Validation!$A:$D,4,0)</f>
        <v>#N/A</v>
      </c>
      <c r="X459" s="153" t="e">
        <f>+VLOOKUP($M459,Data_Validation!$A:$E,5,0)</f>
        <v>#N/A</v>
      </c>
      <c r="Y459" s="153" t="e">
        <f>+VLOOKUP($M459,Data_Validation!$A:$F,6,0)</f>
        <v>#N/A</v>
      </c>
    </row>
    <row r="460" spans="2:25" ht="15" customHeight="1">
      <c r="B460" s="1398"/>
      <c r="C460" s="1401"/>
      <c r="D460" s="1400"/>
      <c r="E460" s="1400"/>
      <c r="F460" s="1400"/>
      <c r="G460" s="1398"/>
      <c r="H460" s="1398"/>
      <c r="I460" s="1399"/>
      <c r="J460" s="1399"/>
      <c r="K460" s="1399"/>
      <c r="L460" s="1399"/>
      <c r="M460" s="150">
        <f t="shared" si="50"/>
        <v>0</v>
      </c>
      <c r="N460" s="151">
        <f t="shared" si="51"/>
        <v>0</v>
      </c>
      <c r="O460" s="152">
        <f>+IF(OR($R460=Parametres!$G$2,$R460=Parametres!$G$3),J460,D460)</f>
        <v>0</v>
      </c>
      <c r="P460" s="1083">
        <f>+IF(OR($R460=Parametres!$G$2,$R460=Parametres!$G$3),K460,E460)</f>
        <v>0</v>
      </c>
      <c r="Q460" s="152">
        <f>+IF(OR($R460=Parametres!$G$2,$R460=Parametres!$G$3),L460,F460)</f>
        <v>0</v>
      </c>
      <c r="R460" s="151">
        <f t="shared" si="52"/>
        <v>0</v>
      </c>
      <c r="S460" s="150">
        <f t="shared" si="53"/>
        <v>0</v>
      </c>
      <c r="T460" s="151">
        <f t="shared" si="54"/>
        <v>0</v>
      </c>
      <c r="U460" s="153" t="e">
        <f>+VLOOKUP($M460,Data_Validation!$A:$D,1,0)</f>
        <v>#N/A</v>
      </c>
      <c r="V460" s="153" t="e">
        <f>+VLOOKUP($M460,Data_Validation!$A:$D,3,0)</f>
        <v>#N/A</v>
      </c>
      <c r="W460" s="153" t="e">
        <f>+VLOOKUP($M460,Data_Validation!$A:$D,4,0)</f>
        <v>#N/A</v>
      </c>
      <c r="X460" s="153" t="e">
        <f>+VLOOKUP($M460,Data_Validation!$A:$E,5,0)</f>
        <v>#N/A</v>
      </c>
      <c r="Y460" s="153" t="e">
        <f>+VLOOKUP($M460,Data_Validation!$A:$F,6,0)</f>
        <v>#N/A</v>
      </c>
    </row>
    <row r="461" spans="2:25" ht="15" customHeight="1">
      <c r="B461" s="1398"/>
      <c r="C461" s="1401"/>
      <c r="D461" s="1400"/>
      <c r="E461" s="1400"/>
      <c r="F461" s="1400"/>
      <c r="G461" s="1398"/>
      <c r="H461" s="1398"/>
      <c r="I461" s="1399"/>
      <c r="J461" s="1399"/>
      <c r="K461" s="1399"/>
      <c r="L461" s="1399"/>
      <c r="M461" s="150">
        <f t="shared" ref="M461:M462" si="55">+C461</f>
        <v>0</v>
      </c>
      <c r="N461" s="151">
        <f t="shared" ref="N461:N462" si="56">+B461</f>
        <v>0</v>
      </c>
      <c r="O461" s="152">
        <f>+IF(OR($R461=Parametres!$G$2,$R461=Parametres!$G$3),J461,D461)</f>
        <v>0</v>
      </c>
      <c r="P461" s="1083">
        <f>+IF(OR($R461=Parametres!$G$2,$R461=Parametres!$G$3),K461,E461)</f>
        <v>0</v>
      </c>
      <c r="Q461" s="152">
        <f>+IF(OR($R461=Parametres!$G$2,$R461=Parametres!$G$3),L461,F461)</f>
        <v>0</v>
      </c>
      <c r="R461" s="151">
        <f t="shared" ref="R461:R462" si="57">+G461</f>
        <v>0</v>
      </c>
      <c r="S461" s="150">
        <f t="shared" ref="S461:S462" si="58">+H461</f>
        <v>0</v>
      </c>
      <c r="T461" s="151">
        <f t="shared" ref="T461:T462" si="59">+I461</f>
        <v>0</v>
      </c>
      <c r="U461" s="153" t="e">
        <f>+VLOOKUP($M461,Data_Validation!$A:$D,1,0)</f>
        <v>#N/A</v>
      </c>
      <c r="V461" s="153" t="e">
        <f>+VLOOKUP($M461,Data_Validation!$A:$D,3,0)</f>
        <v>#N/A</v>
      </c>
      <c r="W461" s="153" t="e">
        <f>+VLOOKUP($M461,Data_Validation!$A:$D,4,0)</f>
        <v>#N/A</v>
      </c>
      <c r="X461" s="153" t="e">
        <f>+VLOOKUP($M461,Data_Validation!$A:$E,5,0)</f>
        <v>#N/A</v>
      </c>
      <c r="Y461" s="153" t="e">
        <f>+VLOOKUP($M461,Data_Validation!$A:$F,6,0)</f>
        <v>#N/A</v>
      </c>
    </row>
    <row r="462" spans="2:25" ht="15" customHeight="1">
      <c r="B462" s="1398"/>
      <c r="C462" s="1398"/>
      <c r="D462" s="1399"/>
      <c r="E462" s="1399"/>
      <c r="F462" s="1399"/>
      <c r="G462" s="1398"/>
      <c r="H462" s="1398"/>
      <c r="I462" s="1399"/>
      <c r="J462" s="1400"/>
      <c r="K462" s="1400"/>
      <c r="L462" s="1400"/>
      <c r="M462" s="150">
        <f t="shared" si="55"/>
        <v>0</v>
      </c>
      <c r="N462" s="151">
        <f t="shared" si="56"/>
        <v>0</v>
      </c>
      <c r="O462" s="152">
        <f>+IF(OR($R462=Parametres!$G$2,$R462=Parametres!$G$3),J462,D462)</f>
        <v>0</v>
      </c>
      <c r="P462" s="1083">
        <f>+IF(OR($R462=Parametres!$G$2,$R462=Parametres!$G$3),K462,E462)</f>
        <v>0</v>
      </c>
      <c r="Q462" s="152">
        <f>+IF(OR($R462=Parametres!$G$2,$R462=Parametres!$G$3),L462,F462)</f>
        <v>0</v>
      </c>
      <c r="R462" s="151">
        <f t="shared" si="57"/>
        <v>0</v>
      </c>
      <c r="S462" s="150">
        <f t="shared" si="58"/>
        <v>0</v>
      </c>
      <c r="T462" s="151">
        <f t="shared" si="59"/>
        <v>0</v>
      </c>
      <c r="U462" s="153" t="e">
        <f>+VLOOKUP($M462,Data_Validation!$A:$D,1,0)</f>
        <v>#N/A</v>
      </c>
      <c r="V462" s="153" t="e">
        <f>+VLOOKUP($M462,Data_Validation!$A:$D,3,0)</f>
        <v>#N/A</v>
      </c>
      <c r="W462" s="153" t="e">
        <f>+VLOOKUP($M462,Data_Validation!$A:$D,4,0)</f>
        <v>#N/A</v>
      </c>
      <c r="X462" s="153" t="e">
        <f>+VLOOKUP($M462,Data_Validation!$A:$E,5,0)</f>
        <v>#N/A</v>
      </c>
      <c r="Y462" s="153" t="e">
        <f>+VLOOKUP($M462,Data_Validation!$A:$F,6,0)</f>
        <v>#N/A</v>
      </c>
    </row>
    <row r="463" spans="2:25" ht="15" customHeight="1">
      <c r="B463" s="1398"/>
      <c r="C463" s="1401"/>
      <c r="D463" s="1400"/>
      <c r="E463" s="1400"/>
      <c r="F463" s="1400"/>
      <c r="G463" s="1398"/>
      <c r="H463" s="1398"/>
      <c r="I463" s="1399"/>
      <c r="J463" s="1399"/>
      <c r="K463" s="1399"/>
      <c r="L463" s="1399"/>
      <c r="M463" s="150">
        <f t="shared" ref="M463:M476" si="60">+C463</f>
        <v>0</v>
      </c>
      <c r="N463" s="151">
        <f t="shared" ref="N463:N476" si="61">+B463</f>
        <v>0</v>
      </c>
      <c r="O463" s="152">
        <f>+IF(OR($R463=Parametres!$G$2,$R463=Parametres!$G$3),J463,D463)</f>
        <v>0</v>
      </c>
      <c r="P463" s="1083">
        <f>+IF(OR($R463=Parametres!$G$2,$R463=Parametres!$G$3),K463,E463)</f>
        <v>0</v>
      </c>
      <c r="Q463" s="152">
        <f>+IF(OR($R463=Parametres!$G$2,$R463=Parametres!$G$3),L463,F463)</f>
        <v>0</v>
      </c>
      <c r="R463" s="151">
        <f t="shared" ref="R463:R476" si="62">+G463</f>
        <v>0</v>
      </c>
      <c r="S463" s="150">
        <f t="shared" ref="S463:S476" si="63">+H463</f>
        <v>0</v>
      </c>
      <c r="T463" s="151">
        <f t="shared" ref="T463:T476" si="64">+I463</f>
        <v>0</v>
      </c>
      <c r="U463" s="153" t="e">
        <f>+VLOOKUP($M463,Data_Validation!$A:$D,1,0)</f>
        <v>#N/A</v>
      </c>
      <c r="V463" s="153" t="e">
        <f>+VLOOKUP($M463,Data_Validation!$A:$D,3,0)</f>
        <v>#N/A</v>
      </c>
      <c r="W463" s="153" t="e">
        <f>+VLOOKUP($M463,Data_Validation!$A:$D,4,0)</f>
        <v>#N/A</v>
      </c>
      <c r="X463" s="153" t="e">
        <f>+VLOOKUP($M463,Data_Validation!$A:$E,5,0)</f>
        <v>#N/A</v>
      </c>
      <c r="Y463" s="153" t="e">
        <f>+VLOOKUP($M463,Data_Validation!$A:$F,6,0)</f>
        <v>#N/A</v>
      </c>
    </row>
    <row r="464" spans="2:25" ht="15" customHeight="1">
      <c r="B464" s="1398"/>
      <c r="C464" s="1398"/>
      <c r="D464" s="1399"/>
      <c r="E464" s="1399"/>
      <c r="F464" s="1399"/>
      <c r="G464" s="1398"/>
      <c r="H464" s="1398"/>
      <c r="I464" s="1399"/>
      <c r="J464" s="1400"/>
      <c r="K464" s="1400"/>
      <c r="L464" s="1400"/>
      <c r="M464" s="150">
        <f t="shared" si="60"/>
        <v>0</v>
      </c>
      <c r="N464" s="151">
        <f t="shared" si="61"/>
        <v>0</v>
      </c>
      <c r="O464" s="152">
        <f>+IF(OR($R464=Parametres!$G$2,$R464=Parametres!$G$3),J464,D464)</f>
        <v>0</v>
      </c>
      <c r="P464" s="1083">
        <f>+IF(OR($R464=Parametres!$G$2,$R464=Parametres!$G$3),K464,E464)</f>
        <v>0</v>
      </c>
      <c r="Q464" s="152">
        <f>+IF(OR($R464=Parametres!$G$2,$R464=Parametres!$G$3),L464,F464)</f>
        <v>0</v>
      </c>
      <c r="R464" s="151">
        <f t="shared" si="62"/>
        <v>0</v>
      </c>
      <c r="S464" s="150">
        <f t="shared" si="63"/>
        <v>0</v>
      </c>
      <c r="T464" s="151">
        <f t="shared" si="64"/>
        <v>0</v>
      </c>
      <c r="U464" s="153" t="e">
        <f>+VLOOKUP($M464,Data_Validation!$A:$D,1,0)</f>
        <v>#N/A</v>
      </c>
      <c r="V464" s="153" t="e">
        <f>+VLOOKUP($M464,Data_Validation!$A:$D,3,0)</f>
        <v>#N/A</v>
      </c>
      <c r="W464" s="153" t="e">
        <f>+VLOOKUP($M464,Data_Validation!$A:$D,4,0)</f>
        <v>#N/A</v>
      </c>
      <c r="X464" s="153" t="e">
        <f>+VLOOKUP($M464,Data_Validation!$A:$E,5,0)</f>
        <v>#N/A</v>
      </c>
      <c r="Y464" s="153" t="e">
        <f>+VLOOKUP($M464,Data_Validation!$A:$F,6,0)</f>
        <v>#N/A</v>
      </c>
    </row>
    <row r="465" spans="2:25" ht="15" customHeight="1">
      <c r="B465" s="1398"/>
      <c r="C465" s="1401"/>
      <c r="D465" s="1400"/>
      <c r="E465" s="1400"/>
      <c r="F465" s="1400"/>
      <c r="G465" s="1398"/>
      <c r="H465" s="1398"/>
      <c r="I465" s="1198"/>
      <c r="J465" s="1198"/>
      <c r="K465" s="1198"/>
      <c r="L465" s="1198"/>
      <c r="M465" s="150">
        <f t="shared" si="60"/>
        <v>0</v>
      </c>
      <c r="N465" s="151">
        <f t="shared" si="61"/>
        <v>0</v>
      </c>
      <c r="O465" s="152">
        <f>+IF(OR($R465=Parametres!$G$2,$R465=Parametres!$G$3),J465,D465)</f>
        <v>0</v>
      </c>
      <c r="P465" s="1083">
        <f>+IF(OR($R465=Parametres!$G$2,$R465=Parametres!$G$3),K465,E465)</f>
        <v>0</v>
      </c>
      <c r="Q465" s="152">
        <f>+IF(OR($R465=Parametres!$G$2,$R465=Parametres!$G$3),L465,F465)</f>
        <v>0</v>
      </c>
      <c r="R465" s="151">
        <f t="shared" si="62"/>
        <v>0</v>
      </c>
      <c r="S465" s="150">
        <f t="shared" si="63"/>
        <v>0</v>
      </c>
      <c r="T465" s="151">
        <f t="shared" si="64"/>
        <v>0</v>
      </c>
      <c r="U465" s="153" t="e">
        <f>+VLOOKUP($M465,Data_Validation!$A:$D,1,0)</f>
        <v>#N/A</v>
      </c>
      <c r="V465" s="153" t="e">
        <f>+VLOOKUP($M465,Data_Validation!$A:$D,3,0)</f>
        <v>#N/A</v>
      </c>
      <c r="W465" s="153" t="e">
        <f>+VLOOKUP($M465,Data_Validation!$A:$D,4,0)</f>
        <v>#N/A</v>
      </c>
      <c r="X465" s="153" t="e">
        <f>+VLOOKUP($M465,Data_Validation!$A:$E,5,0)</f>
        <v>#N/A</v>
      </c>
      <c r="Y465" s="153" t="e">
        <f>+VLOOKUP($M465,Data_Validation!$A:$F,6,0)</f>
        <v>#N/A</v>
      </c>
    </row>
    <row r="466" spans="2:25" ht="15" customHeight="1">
      <c r="B466" s="1398"/>
      <c r="C466" s="1401"/>
      <c r="D466" s="1400"/>
      <c r="E466" s="1400"/>
      <c r="F466" s="1400"/>
      <c r="G466" s="1398"/>
      <c r="H466" s="1398"/>
      <c r="I466" s="1198"/>
      <c r="J466" s="1198"/>
      <c r="K466" s="1198"/>
      <c r="L466" s="1198"/>
      <c r="M466" s="150">
        <f t="shared" si="60"/>
        <v>0</v>
      </c>
      <c r="N466" s="151">
        <f t="shared" si="61"/>
        <v>0</v>
      </c>
      <c r="O466" s="152">
        <f>+IF(OR($R466=Parametres!$G$2,$R466=Parametres!$G$3),J466,D466)</f>
        <v>0</v>
      </c>
      <c r="P466" s="1083">
        <f>+IF(OR($R466=Parametres!$G$2,$R466=Parametres!$G$3),K466,E466)</f>
        <v>0</v>
      </c>
      <c r="Q466" s="152">
        <f>+IF(OR($R466=Parametres!$G$2,$R466=Parametres!$G$3),L466,F466)</f>
        <v>0</v>
      </c>
      <c r="R466" s="151">
        <f t="shared" si="62"/>
        <v>0</v>
      </c>
      <c r="S466" s="150">
        <f t="shared" si="63"/>
        <v>0</v>
      </c>
      <c r="T466" s="151">
        <f t="shared" si="64"/>
        <v>0</v>
      </c>
      <c r="U466" s="153" t="e">
        <f>+VLOOKUP($M466,Data_Validation!$A:$D,1,0)</f>
        <v>#N/A</v>
      </c>
      <c r="V466" s="153" t="e">
        <f>+VLOOKUP($M466,Data_Validation!$A:$D,3,0)</f>
        <v>#N/A</v>
      </c>
      <c r="W466" s="153" t="e">
        <f>+VLOOKUP($M466,Data_Validation!$A:$D,4,0)</f>
        <v>#N/A</v>
      </c>
      <c r="X466" s="153" t="e">
        <f>+VLOOKUP($M466,Data_Validation!$A:$E,5,0)</f>
        <v>#N/A</v>
      </c>
      <c r="Y466" s="153" t="e">
        <f>+VLOOKUP($M466,Data_Validation!$A:$F,6,0)</f>
        <v>#N/A</v>
      </c>
    </row>
    <row r="467" spans="2:25" ht="15" customHeight="1">
      <c r="B467" s="1398"/>
      <c r="C467" s="1401"/>
      <c r="D467" s="1400"/>
      <c r="E467" s="1400"/>
      <c r="F467" s="1400"/>
      <c r="G467" s="1398"/>
      <c r="H467" s="1398"/>
      <c r="I467" s="1198"/>
      <c r="J467" s="1198"/>
      <c r="K467" s="1198"/>
      <c r="L467" s="1198"/>
      <c r="M467" s="150">
        <f t="shared" si="60"/>
        <v>0</v>
      </c>
      <c r="N467" s="151">
        <f t="shared" si="61"/>
        <v>0</v>
      </c>
      <c r="O467" s="152">
        <f>+IF(OR($R467=Parametres!$G$2,$R467=Parametres!$G$3),J467,D467)</f>
        <v>0</v>
      </c>
      <c r="P467" s="1083">
        <f>+IF(OR($R467=Parametres!$G$2,$R467=Parametres!$G$3),K467,E467)</f>
        <v>0</v>
      </c>
      <c r="Q467" s="152">
        <f>+IF(OR($R467=Parametres!$G$2,$R467=Parametres!$G$3),L467,F467)</f>
        <v>0</v>
      </c>
      <c r="R467" s="151">
        <f t="shared" si="62"/>
        <v>0</v>
      </c>
      <c r="S467" s="150">
        <f t="shared" si="63"/>
        <v>0</v>
      </c>
      <c r="T467" s="151">
        <f t="shared" si="64"/>
        <v>0</v>
      </c>
      <c r="U467" s="153" t="e">
        <f>+VLOOKUP($M467,Data_Validation!$A:$D,1,0)</f>
        <v>#N/A</v>
      </c>
      <c r="V467" s="153" t="e">
        <f>+VLOOKUP($M467,Data_Validation!$A:$D,3,0)</f>
        <v>#N/A</v>
      </c>
      <c r="W467" s="153" t="e">
        <f>+VLOOKUP($M467,Data_Validation!$A:$D,4,0)</f>
        <v>#N/A</v>
      </c>
      <c r="X467" s="153" t="e">
        <f>+VLOOKUP($M467,Data_Validation!$A:$E,5,0)</f>
        <v>#N/A</v>
      </c>
      <c r="Y467" s="153" t="e">
        <f>+VLOOKUP($M467,Data_Validation!$A:$F,6,0)</f>
        <v>#N/A</v>
      </c>
    </row>
    <row r="468" spans="2:25" ht="15" customHeight="1">
      <c r="B468" s="1398"/>
      <c r="C468" s="1401"/>
      <c r="D468" s="1400"/>
      <c r="E468" s="1400"/>
      <c r="F468" s="1400"/>
      <c r="G468" s="1398"/>
      <c r="H468" s="1398"/>
      <c r="I468" s="1198"/>
      <c r="J468" s="1198"/>
      <c r="K468" s="1198"/>
      <c r="L468" s="1198"/>
      <c r="M468" s="150">
        <f t="shared" si="60"/>
        <v>0</v>
      </c>
      <c r="N468" s="151">
        <f t="shared" si="61"/>
        <v>0</v>
      </c>
      <c r="O468" s="152">
        <f>+IF(OR($R468=Parametres!$G$2,$R468=Parametres!$G$3),J468,D468)</f>
        <v>0</v>
      </c>
      <c r="P468" s="1083">
        <f>+IF(OR($R468=Parametres!$G$2,$R468=Parametres!$G$3),K468,E468)</f>
        <v>0</v>
      </c>
      <c r="Q468" s="152">
        <f>+IF(OR($R468=Parametres!$G$2,$R468=Parametres!$G$3),L468,F468)</f>
        <v>0</v>
      </c>
      <c r="R468" s="151">
        <f t="shared" si="62"/>
        <v>0</v>
      </c>
      <c r="S468" s="150">
        <f t="shared" si="63"/>
        <v>0</v>
      </c>
      <c r="T468" s="151">
        <f t="shared" si="64"/>
        <v>0</v>
      </c>
      <c r="U468" s="153" t="e">
        <f>+VLOOKUP($M468,Data_Validation!$A:$D,1,0)</f>
        <v>#N/A</v>
      </c>
      <c r="V468" s="153" t="e">
        <f>+VLOOKUP($M468,Data_Validation!$A:$D,3,0)</f>
        <v>#N/A</v>
      </c>
      <c r="W468" s="153" t="e">
        <f>+VLOOKUP($M468,Data_Validation!$A:$D,4,0)</f>
        <v>#N/A</v>
      </c>
      <c r="X468" s="153" t="e">
        <f>+VLOOKUP($M468,Data_Validation!$A:$E,5,0)</f>
        <v>#N/A</v>
      </c>
      <c r="Y468" s="153" t="e">
        <f>+VLOOKUP($M468,Data_Validation!$A:$F,6,0)</f>
        <v>#N/A</v>
      </c>
    </row>
    <row r="469" spans="2:25" ht="15" customHeight="1">
      <c r="B469" s="1398"/>
      <c r="C469" s="1401"/>
      <c r="D469" s="1400"/>
      <c r="E469" s="1400"/>
      <c r="F469" s="1400"/>
      <c r="G469" s="1398"/>
      <c r="H469" s="1398"/>
      <c r="I469" s="1198"/>
      <c r="J469" s="1198"/>
      <c r="K469" s="1198"/>
      <c r="L469" s="1198"/>
      <c r="M469" s="150">
        <f t="shared" si="60"/>
        <v>0</v>
      </c>
      <c r="N469" s="151">
        <f t="shared" si="61"/>
        <v>0</v>
      </c>
      <c r="O469" s="152">
        <f>+IF(OR($R469=Parametres!$G$2,$R469=Parametres!$G$3),J469,D469)</f>
        <v>0</v>
      </c>
      <c r="P469" s="1083">
        <f>+IF(OR($R469=Parametres!$G$2,$R469=Parametres!$G$3),K469,E469)</f>
        <v>0</v>
      </c>
      <c r="Q469" s="152">
        <f>+IF(OR($R469=Parametres!$G$2,$R469=Parametres!$G$3),L469,F469)</f>
        <v>0</v>
      </c>
      <c r="R469" s="151">
        <f t="shared" si="62"/>
        <v>0</v>
      </c>
      <c r="S469" s="150">
        <f t="shared" si="63"/>
        <v>0</v>
      </c>
      <c r="T469" s="151">
        <f t="shared" si="64"/>
        <v>0</v>
      </c>
      <c r="U469" s="153" t="e">
        <f>+VLOOKUP($M469,Data_Validation!$A:$D,1,0)</f>
        <v>#N/A</v>
      </c>
      <c r="V469" s="153" t="e">
        <f>+VLOOKUP($M469,Data_Validation!$A:$D,3,0)</f>
        <v>#N/A</v>
      </c>
      <c r="W469" s="153" t="e">
        <f>+VLOOKUP($M469,Data_Validation!$A:$D,4,0)</f>
        <v>#N/A</v>
      </c>
      <c r="X469" s="153" t="e">
        <f>+VLOOKUP($M469,Data_Validation!$A:$E,5,0)</f>
        <v>#N/A</v>
      </c>
      <c r="Y469" s="153" t="e">
        <f>+VLOOKUP($M469,Data_Validation!$A:$F,6,0)</f>
        <v>#N/A</v>
      </c>
    </row>
    <row r="470" spans="2:25" ht="15" customHeight="1">
      <c r="B470" s="1192"/>
      <c r="C470" s="1193"/>
      <c r="D470" s="1196"/>
      <c r="E470" s="1196"/>
      <c r="F470" s="1196"/>
      <c r="G470" s="1192"/>
      <c r="H470" s="1192"/>
      <c r="I470" s="1198"/>
      <c r="J470" s="1198"/>
      <c r="K470" s="1198"/>
      <c r="L470" s="1198"/>
      <c r="M470" s="150">
        <f t="shared" si="60"/>
        <v>0</v>
      </c>
      <c r="N470" s="151">
        <f t="shared" si="61"/>
        <v>0</v>
      </c>
      <c r="O470" s="152">
        <f>+IF(OR($R470=Parametres!$G$2,$R470=Parametres!$G$3),J470,D470)</f>
        <v>0</v>
      </c>
      <c r="P470" s="1083">
        <f>+IF(OR($R470=Parametres!$G$2,$R470=Parametres!$G$3),K470,E470)</f>
        <v>0</v>
      </c>
      <c r="Q470" s="152">
        <f>+IF(OR($R470=Parametres!$G$2,$R470=Parametres!$G$3),L470,F470)</f>
        <v>0</v>
      </c>
      <c r="R470" s="151">
        <f t="shared" si="62"/>
        <v>0</v>
      </c>
      <c r="S470" s="150">
        <f t="shared" si="63"/>
        <v>0</v>
      </c>
      <c r="T470" s="151">
        <f t="shared" si="64"/>
        <v>0</v>
      </c>
      <c r="U470" s="153" t="e">
        <f>+VLOOKUP($M470,Data_Validation!$A:$D,1,0)</f>
        <v>#N/A</v>
      </c>
      <c r="V470" s="153" t="e">
        <f>+VLOOKUP($M470,Data_Validation!$A:$D,3,0)</f>
        <v>#N/A</v>
      </c>
      <c r="W470" s="153" t="e">
        <f>+VLOOKUP($M470,Data_Validation!$A:$D,4,0)</f>
        <v>#N/A</v>
      </c>
      <c r="X470" s="153" t="e">
        <f>+VLOOKUP($M470,Data_Validation!$A:$E,5,0)</f>
        <v>#N/A</v>
      </c>
      <c r="Y470" s="153" t="e">
        <f>+VLOOKUP($M470,Data_Validation!$A:$F,6,0)</f>
        <v>#N/A</v>
      </c>
    </row>
    <row r="471" spans="2:25" ht="15" customHeight="1">
      <c r="C471"/>
      <c r="D471" s="1396"/>
      <c r="E471" s="1396"/>
      <c r="F471" s="1396"/>
      <c r="G471"/>
      <c r="H471"/>
      <c r="M471" s="150">
        <f t="shared" si="60"/>
        <v>0</v>
      </c>
      <c r="N471" s="151">
        <f t="shared" si="61"/>
        <v>0</v>
      </c>
      <c r="O471" s="152">
        <f>+IF(OR($R471=Parametres!$G$2,$R471=Parametres!$G$3),J471,D471)</f>
        <v>0</v>
      </c>
      <c r="P471" s="1083">
        <f>+IF(OR($R471=Parametres!$G$2,$R471=Parametres!$G$3),K471,E471)</f>
        <v>0</v>
      </c>
      <c r="Q471" s="152">
        <f>+IF(OR($R471=Parametres!$G$2,$R471=Parametres!$G$3),L471,F471)</f>
        <v>0</v>
      </c>
      <c r="R471" s="151">
        <f t="shared" si="62"/>
        <v>0</v>
      </c>
      <c r="S471" s="150">
        <f t="shared" si="63"/>
        <v>0</v>
      </c>
      <c r="T471" s="151">
        <f t="shared" si="64"/>
        <v>0</v>
      </c>
      <c r="U471" s="153" t="e">
        <f>+VLOOKUP($M471,Data_Validation!$A:$D,1,0)</f>
        <v>#N/A</v>
      </c>
      <c r="V471" s="153" t="e">
        <f>+VLOOKUP($M471,Data_Validation!$A:$D,3,0)</f>
        <v>#N/A</v>
      </c>
      <c r="W471" s="153" t="e">
        <f>+VLOOKUP($M471,Data_Validation!$A:$D,4,0)</f>
        <v>#N/A</v>
      </c>
      <c r="X471" s="153" t="e">
        <f>+VLOOKUP($M471,Data_Validation!$A:$E,5,0)</f>
        <v>#N/A</v>
      </c>
      <c r="Y471" s="153" t="e">
        <f>+VLOOKUP($M471,Data_Validation!$A:$F,6,0)</f>
        <v>#N/A</v>
      </c>
    </row>
    <row r="472" spans="2:25" ht="15" customHeight="1">
      <c r="C472"/>
      <c r="D472"/>
      <c r="E472"/>
      <c r="F472"/>
      <c r="G472"/>
      <c r="H472"/>
      <c r="M472" s="150">
        <f t="shared" si="60"/>
        <v>0</v>
      </c>
      <c r="N472" s="151">
        <f t="shared" si="61"/>
        <v>0</v>
      </c>
      <c r="O472" s="152">
        <f>+IF(OR($R472=Parametres!$G$2,$R472=Parametres!$G$3),J472,D472)</f>
        <v>0</v>
      </c>
      <c r="P472" s="1083">
        <f>+IF(OR($R472=Parametres!$G$2,$R472=Parametres!$G$3),K472,E472)</f>
        <v>0</v>
      </c>
      <c r="Q472" s="152">
        <f>+IF(OR($R472=Parametres!$G$2,$R472=Parametres!$G$3),L472,F472)</f>
        <v>0</v>
      </c>
      <c r="R472" s="151">
        <f t="shared" si="62"/>
        <v>0</v>
      </c>
      <c r="S472" s="150">
        <f t="shared" si="63"/>
        <v>0</v>
      </c>
      <c r="T472" s="151">
        <f t="shared" si="64"/>
        <v>0</v>
      </c>
      <c r="U472" s="153" t="e">
        <f>+VLOOKUP($M472,Data_Validation!$A:$D,1,0)</f>
        <v>#N/A</v>
      </c>
      <c r="V472" s="153" t="e">
        <f>+VLOOKUP($M472,Data_Validation!$A:$D,3,0)</f>
        <v>#N/A</v>
      </c>
      <c r="W472" s="153" t="e">
        <f>+VLOOKUP($M472,Data_Validation!$A:$D,4,0)</f>
        <v>#N/A</v>
      </c>
      <c r="X472" s="153" t="e">
        <f>+VLOOKUP($M472,Data_Validation!$A:$E,5,0)</f>
        <v>#N/A</v>
      </c>
      <c r="Y472" s="153" t="e">
        <f>+VLOOKUP($M472,Data_Validation!$A:$F,6,0)</f>
        <v>#N/A</v>
      </c>
    </row>
    <row r="473" spans="2:25" ht="15" customHeight="1">
      <c r="C473"/>
      <c r="D473"/>
      <c r="E473"/>
      <c r="F473"/>
      <c r="G473"/>
      <c r="H473"/>
      <c r="M473" s="150">
        <f t="shared" si="60"/>
        <v>0</v>
      </c>
      <c r="N473" s="151">
        <f t="shared" si="61"/>
        <v>0</v>
      </c>
      <c r="O473" s="152">
        <f>+IF(OR($R473=Parametres!$G$2,$R473=Parametres!$G$3),J473,D473)</f>
        <v>0</v>
      </c>
      <c r="P473" s="1083">
        <f>+IF(OR($R473=Parametres!$G$2,$R473=Parametres!$G$3),K473,E473)</f>
        <v>0</v>
      </c>
      <c r="Q473" s="152">
        <f>+IF(OR($R473=Parametres!$G$2,$R473=Parametres!$G$3),L473,F473)</f>
        <v>0</v>
      </c>
      <c r="R473" s="151">
        <f t="shared" si="62"/>
        <v>0</v>
      </c>
      <c r="S473" s="150">
        <f t="shared" si="63"/>
        <v>0</v>
      </c>
      <c r="T473" s="151">
        <f t="shared" si="64"/>
        <v>0</v>
      </c>
      <c r="U473" s="153" t="e">
        <f>+VLOOKUP($M473,Data_Validation!$A:$D,1,0)</f>
        <v>#N/A</v>
      </c>
      <c r="V473" s="153" t="e">
        <f>+VLOOKUP($M473,Data_Validation!$A:$D,3,0)</f>
        <v>#N/A</v>
      </c>
      <c r="W473" s="153" t="e">
        <f>+VLOOKUP($M473,Data_Validation!$A:$D,4,0)</f>
        <v>#N/A</v>
      </c>
      <c r="X473" s="153" t="e">
        <f>+VLOOKUP($M473,Data_Validation!$A:$E,5,0)</f>
        <v>#N/A</v>
      </c>
      <c r="Y473" s="153" t="e">
        <f>+VLOOKUP($M473,Data_Validation!$A:$F,6,0)</f>
        <v>#N/A</v>
      </c>
    </row>
    <row r="474" spans="2:25" ht="15" customHeight="1">
      <c r="C474"/>
      <c r="D474"/>
      <c r="E474"/>
      <c r="F474"/>
      <c r="G474"/>
      <c r="H474"/>
      <c r="M474" s="150">
        <f t="shared" si="60"/>
        <v>0</v>
      </c>
      <c r="N474" s="151">
        <f t="shared" si="61"/>
        <v>0</v>
      </c>
      <c r="O474" s="152">
        <f>+IF(OR($R474=Parametres!$G$2,$R474=Parametres!$G$3),J474,D474)</f>
        <v>0</v>
      </c>
      <c r="P474" s="1083">
        <f>+IF(OR($R474=Parametres!$G$2,$R474=Parametres!$G$3),K474,E474)</f>
        <v>0</v>
      </c>
      <c r="Q474" s="152">
        <f>+IF(OR($R474=Parametres!$G$2,$R474=Parametres!$G$3),L474,F474)</f>
        <v>0</v>
      </c>
      <c r="R474" s="151">
        <f t="shared" si="62"/>
        <v>0</v>
      </c>
      <c r="S474" s="150">
        <f t="shared" si="63"/>
        <v>0</v>
      </c>
      <c r="T474" s="151">
        <f t="shared" si="64"/>
        <v>0</v>
      </c>
      <c r="U474" s="153" t="e">
        <f>+VLOOKUP($M474,Data_Validation!$A:$D,1,0)</f>
        <v>#N/A</v>
      </c>
      <c r="V474" s="153" t="e">
        <f>+VLOOKUP($M474,Data_Validation!$A:$D,3,0)</f>
        <v>#N/A</v>
      </c>
      <c r="W474" s="153" t="e">
        <f>+VLOOKUP($M474,Data_Validation!$A:$D,4,0)</f>
        <v>#N/A</v>
      </c>
      <c r="X474" s="153" t="e">
        <f>+VLOOKUP($M474,Data_Validation!$A:$E,5,0)</f>
        <v>#N/A</v>
      </c>
      <c r="Y474" s="153" t="e">
        <f>+VLOOKUP($M474,Data_Validation!$A:$F,6,0)</f>
        <v>#N/A</v>
      </c>
    </row>
    <row r="475" spans="2:25" ht="15" customHeight="1">
      <c r="C475"/>
      <c r="D475"/>
      <c r="E475"/>
      <c r="F475"/>
      <c r="G475"/>
      <c r="H475"/>
      <c r="M475" s="150">
        <f t="shared" si="60"/>
        <v>0</v>
      </c>
      <c r="N475" s="151">
        <f t="shared" si="61"/>
        <v>0</v>
      </c>
      <c r="O475" s="152">
        <f>+IF(OR($R475=Parametres!$G$2,$R475=Parametres!$G$3),J475,D475)</f>
        <v>0</v>
      </c>
      <c r="P475" s="1083">
        <f>+IF(OR($R475=Parametres!$G$2,$R475=Parametres!$G$3),K475,E475)</f>
        <v>0</v>
      </c>
      <c r="Q475" s="152">
        <f>+IF(OR($R475=Parametres!$G$2,$R475=Parametres!$G$3),L475,F475)</f>
        <v>0</v>
      </c>
      <c r="R475" s="151">
        <f t="shared" si="62"/>
        <v>0</v>
      </c>
      <c r="S475" s="150">
        <f t="shared" si="63"/>
        <v>0</v>
      </c>
      <c r="T475" s="151">
        <f t="shared" si="64"/>
        <v>0</v>
      </c>
      <c r="U475" s="153" t="e">
        <f>+VLOOKUP($M475,Data_Validation!$A:$D,1,0)</f>
        <v>#N/A</v>
      </c>
      <c r="V475" s="153" t="e">
        <f>+VLOOKUP($M475,Data_Validation!$A:$D,3,0)</f>
        <v>#N/A</v>
      </c>
      <c r="W475" s="153" t="e">
        <f>+VLOOKUP($M475,Data_Validation!$A:$D,4,0)</f>
        <v>#N/A</v>
      </c>
      <c r="X475" s="153" t="e">
        <f>+VLOOKUP($M475,Data_Validation!$A:$E,5,0)</f>
        <v>#N/A</v>
      </c>
      <c r="Y475" s="153" t="e">
        <f>+VLOOKUP($M475,Data_Validation!$A:$F,6,0)</f>
        <v>#N/A</v>
      </c>
    </row>
    <row r="476" spans="2:25" ht="15" customHeight="1">
      <c r="C476"/>
      <c r="D476"/>
      <c r="E476"/>
      <c r="F476"/>
      <c r="G476"/>
      <c r="H476"/>
      <c r="M476" s="150">
        <f t="shared" si="60"/>
        <v>0</v>
      </c>
      <c r="N476" s="151">
        <f t="shared" si="61"/>
        <v>0</v>
      </c>
      <c r="O476" s="152">
        <f>+IF(OR($R476=Parametres!$G$2,$R476=Parametres!$G$3),J476,D476)</f>
        <v>0</v>
      </c>
      <c r="P476" s="1083">
        <f>+IF(OR($R476=Parametres!$G$2,$R476=Parametres!$G$3),K476,E476)</f>
        <v>0</v>
      </c>
      <c r="Q476" s="152">
        <f>+IF(OR($R476=Parametres!$G$2,$R476=Parametres!$G$3),L476,F476)</f>
        <v>0</v>
      </c>
      <c r="R476" s="151">
        <f t="shared" si="62"/>
        <v>0</v>
      </c>
      <c r="S476" s="150">
        <f t="shared" si="63"/>
        <v>0</v>
      </c>
      <c r="T476" s="151">
        <f t="shared" si="64"/>
        <v>0</v>
      </c>
      <c r="U476" s="153" t="e">
        <f>+VLOOKUP($M476,Data_Validation!$A:$D,1,0)</f>
        <v>#N/A</v>
      </c>
      <c r="V476" s="153" t="e">
        <f>+VLOOKUP($M476,Data_Validation!$A:$D,3,0)</f>
        <v>#N/A</v>
      </c>
      <c r="W476" s="153" t="e">
        <f>+VLOOKUP($M476,Data_Validation!$A:$D,4,0)</f>
        <v>#N/A</v>
      </c>
      <c r="X476" s="153" t="e">
        <f>+VLOOKUP($M476,Data_Validation!$A:$E,5,0)</f>
        <v>#N/A</v>
      </c>
      <c r="Y476" s="153" t="e">
        <f>+VLOOKUP($M476,Data_Validation!$A:$F,6,0)</f>
        <v>#N/A</v>
      </c>
    </row>
    <row r="477" spans="2:25" ht="15" customHeight="1">
      <c r="C477"/>
      <c r="D477"/>
      <c r="E477"/>
      <c r="F477"/>
      <c r="G477"/>
      <c r="H477"/>
    </row>
    <row r="478" spans="2:25" ht="15" customHeight="1">
      <c r="C478"/>
      <c r="D478"/>
      <c r="E478"/>
      <c r="F478"/>
      <c r="G478"/>
      <c r="H478"/>
      <c r="M478" s="150"/>
      <c r="N478" s="151"/>
    </row>
    <row r="479" spans="2:25" ht="15" customHeight="1">
      <c r="C479"/>
      <c r="D479"/>
      <c r="E479"/>
      <c r="F479"/>
      <c r="G479"/>
      <c r="H479"/>
      <c r="M479" s="150"/>
      <c r="N479" s="151"/>
    </row>
    <row r="480" spans="2:25" ht="15" customHeight="1">
      <c r="C480"/>
      <c r="D480"/>
      <c r="E480"/>
      <c r="F480"/>
      <c r="G480"/>
      <c r="H480"/>
      <c r="M480" s="150"/>
      <c r="N480" s="151"/>
    </row>
    <row r="481" spans="3:17" ht="15" customHeight="1">
      <c r="C481"/>
      <c r="D481"/>
      <c r="E481"/>
      <c r="F481"/>
      <c r="G481"/>
      <c r="H481"/>
      <c r="M481" s="155">
        <v>1442</v>
      </c>
      <c r="N481" t="s">
        <v>2025</v>
      </c>
      <c r="O481" s="1075" t="e">
        <f t="shared" ref="O481:O486" si="65">VLOOKUP($M481,$M$1:$Q$465,3,FALSE)</f>
        <v>#N/A</v>
      </c>
      <c r="P481" s="1075" t="e">
        <f t="shared" ref="P481:P487" si="66">VLOOKUP($M481,$M$1:$Q$465,4,FALSE)</f>
        <v>#N/A</v>
      </c>
      <c r="Q481" s="1075" t="e">
        <f>VLOOKUP($M481,$M$1:$Q$465,5,FALSE)</f>
        <v>#N/A</v>
      </c>
    </row>
    <row r="482" spans="3:17" ht="15" customHeight="1">
      <c r="C482"/>
      <c r="D482"/>
      <c r="E482"/>
      <c r="F482"/>
      <c r="G482"/>
      <c r="H482"/>
      <c r="M482" s="155">
        <v>1448</v>
      </c>
      <c r="N482" t="s">
        <v>2862</v>
      </c>
      <c r="O482" s="1075" t="e">
        <f t="shared" si="65"/>
        <v>#N/A</v>
      </c>
      <c r="P482" s="1075" t="e">
        <f t="shared" si="66"/>
        <v>#N/A</v>
      </c>
      <c r="Q482" s="1075" t="e">
        <f t="shared" ref="Q482:Q486" si="67">VLOOKUP(M482,$M$1:$Q$465,5,FALSE)</f>
        <v>#N/A</v>
      </c>
    </row>
    <row r="483" spans="3:17" ht="15" customHeight="1">
      <c r="C483"/>
      <c r="D483"/>
      <c r="E483"/>
      <c r="F483"/>
      <c r="G483"/>
      <c r="H483"/>
      <c r="M483" s="155">
        <v>1452</v>
      </c>
      <c r="N483" t="s">
        <v>2815</v>
      </c>
      <c r="O483" s="1075" t="e">
        <f t="shared" si="65"/>
        <v>#N/A</v>
      </c>
      <c r="P483" s="1075" t="e">
        <f t="shared" si="66"/>
        <v>#N/A</v>
      </c>
      <c r="Q483" s="1075" t="e">
        <f t="shared" si="67"/>
        <v>#N/A</v>
      </c>
    </row>
    <row r="484" spans="3:17" ht="15" customHeight="1">
      <c r="C484"/>
      <c r="D484"/>
      <c r="E484"/>
      <c r="F484"/>
      <c r="G484"/>
      <c r="H484"/>
      <c r="M484" s="155">
        <v>1456</v>
      </c>
      <c r="N484" t="s">
        <v>2731</v>
      </c>
      <c r="O484" s="1075" t="e">
        <f t="shared" si="65"/>
        <v>#N/A</v>
      </c>
      <c r="P484" s="1075" t="e">
        <f t="shared" si="66"/>
        <v>#N/A</v>
      </c>
      <c r="Q484" s="1075" t="e">
        <f t="shared" si="67"/>
        <v>#N/A</v>
      </c>
    </row>
    <row r="485" spans="3:17" ht="15" customHeight="1">
      <c r="C485"/>
      <c r="D485"/>
      <c r="E485"/>
      <c r="F485"/>
      <c r="G485"/>
      <c r="H485"/>
      <c r="M485" s="155">
        <v>1492</v>
      </c>
      <c r="N485" t="s">
        <v>2133</v>
      </c>
      <c r="O485" s="1075" t="e">
        <f t="shared" si="65"/>
        <v>#N/A</v>
      </c>
      <c r="P485" s="1075" t="e">
        <f t="shared" si="66"/>
        <v>#N/A</v>
      </c>
      <c r="Q485" s="1075" t="e">
        <f t="shared" si="67"/>
        <v>#N/A</v>
      </c>
    </row>
    <row r="486" spans="3:17" ht="15" customHeight="1">
      <c r="C486"/>
      <c r="D486"/>
      <c r="E486"/>
      <c r="F486"/>
      <c r="G486"/>
      <c r="H486"/>
      <c r="M486" s="155">
        <v>1498</v>
      </c>
      <c r="N486" t="s">
        <v>2682</v>
      </c>
      <c r="O486" s="1075" t="e">
        <f t="shared" si="65"/>
        <v>#N/A</v>
      </c>
      <c r="P486" s="1075" t="e">
        <f t="shared" si="66"/>
        <v>#N/A</v>
      </c>
      <c r="Q486" s="1075" t="e">
        <f t="shared" si="67"/>
        <v>#N/A</v>
      </c>
    </row>
    <row r="487" spans="3:17" ht="15" customHeight="1">
      <c r="O487" s="1075" t="e">
        <f>SUBTOTAL(9,O481:O486)</f>
        <v>#N/A</v>
      </c>
      <c r="P487" s="1075">
        <f t="shared" si="66"/>
        <v>0</v>
      </c>
      <c r="Q487" s="1075" t="e">
        <f>SUBTOTAL(9,Q481:Q486)</f>
        <v>#N/A</v>
      </c>
    </row>
  </sheetData>
  <autoFilter ref="B1:Y476"/>
  <dataValidations count="1">
    <dataValidation type="list" allowBlank="1" showErrorMessage="1" sqref="V1">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02"/>
  <sheetViews>
    <sheetView workbookViewId="0"/>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2">
        <v>10</v>
      </c>
      <c r="B2" s="163" t="s">
        <v>2198</v>
      </c>
      <c r="C2" s="934"/>
      <c r="D2" s="934"/>
      <c r="E2" s="984"/>
      <c r="F2" s="985"/>
      <c r="G2" s="984" t="e">
        <f>+VLOOKUP(Data_Validation!$A2,BV_Data_An_Cour!$M:$R,6,0)</f>
        <v>#N/A</v>
      </c>
      <c r="H2" s="159"/>
      <c r="I2" s="158" t="s">
        <v>1638</v>
      </c>
      <c r="K2" s="158">
        <f>Print_Mois!C4</f>
        <v>0</v>
      </c>
      <c r="N2" s="181"/>
    </row>
    <row r="3" spans="1:14" ht="15" customHeight="1">
      <c r="A3" s="1102">
        <v>20</v>
      </c>
      <c r="B3" s="163" t="s">
        <v>2201</v>
      </c>
      <c r="C3" s="934"/>
      <c r="D3" s="934"/>
      <c r="E3" s="984"/>
      <c r="F3" s="985"/>
      <c r="G3" s="984" t="e">
        <f>+VLOOKUP(Data_Validation!$A3,BV_Data_An_Cour!$M:$R,6,0)</f>
        <v>#N/A</v>
      </c>
      <c r="H3" s="182"/>
      <c r="I3" s="158" t="str">
        <f>Print_Mois!K1</f>
        <v>Véhicules neufs</v>
      </c>
      <c r="K3" s="158" t="s">
        <v>66</v>
      </c>
      <c r="N3" s="181"/>
    </row>
    <row r="4" spans="1:14" ht="15" customHeight="1">
      <c r="A4" s="1102">
        <v>30</v>
      </c>
      <c r="B4" s="163" t="s">
        <v>2203</v>
      </c>
      <c r="C4" s="934"/>
      <c r="D4" s="934"/>
      <c r="E4" s="984"/>
      <c r="F4" s="985"/>
      <c r="G4" s="984" t="e">
        <f>+VLOOKUP(Data_Validation!$A4,BV_Data_An_Cour!$M:$R,6,0)</f>
        <v>#N/A</v>
      </c>
      <c r="H4" s="182"/>
      <c r="I4" s="158" t="str">
        <f>Print_Mois!K89</f>
        <v>Véhicules usagés</v>
      </c>
      <c r="K4" s="158" t="str">
        <f>Print_Mois!C183</f>
        <v>Ajustement M/O</v>
      </c>
      <c r="M4" s="621" t="s">
        <v>1924</v>
      </c>
      <c r="N4" s="181"/>
    </row>
    <row r="5" spans="1:14" ht="15" customHeight="1">
      <c r="A5" s="1102">
        <v>40</v>
      </c>
      <c r="B5" s="163" t="s">
        <v>2205</v>
      </c>
      <c r="C5" s="934"/>
      <c r="D5" s="934"/>
      <c r="E5" s="984"/>
      <c r="F5" s="985"/>
      <c r="G5" s="984" t="e">
        <f>+VLOOKUP(Data_Validation!$A5,BV_Data_An_Cour!$M:$R,6,0)</f>
        <v>#N/A</v>
      </c>
      <c r="H5" s="182"/>
      <c r="I5" s="158" t="str">
        <f>Print_Mois!AE401</f>
        <v>TOTAL  DES  REVENUS  ET  DÉPENSES</v>
      </c>
      <c r="K5" s="158" t="s">
        <v>53</v>
      </c>
      <c r="M5" s="622" t="s">
        <v>1925</v>
      </c>
      <c r="N5" s="181"/>
    </row>
    <row r="6" spans="1:14" ht="15" customHeight="1">
      <c r="A6" s="1102">
        <v>50</v>
      </c>
      <c r="B6" s="165" t="s">
        <v>2207</v>
      </c>
      <c r="C6" s="934"/>
      <c r="D6" s="934"/>
      <c r="E6" s="987"/>
      <c r="F6" s="985"/>
      <c r="G6" s="984" t="e">
        <f>+VLOOKUP(Data_Validation!$A6,BV_Data_An_Cour!$M:$R,6,0)</f>
        <v>#N/A</v>
      </c>
      <c r="H6" s="182"/>
      <c r="I6" s="158" t="str">
        <f>Print_Mois!K167</f>
        <v>Service</v>
      </c>
      <c r="K6" s="158" t="s">
        <v>55</v>
      </c>
      <c r="M6" s="622" t="s">
        <v>1943</v>
      </c>
    </row>
    <row r="7" spans="1:14" ht="15" customHeight="1">
      <c r="A7" s="1108">
        <v>60</v>
      </c>
      <c r="B7" s="163" t="s">
        <v>2209</v>
      </c>
      <c r="C7" s="934"/>
      <c r="D7" s="934"/>
      <c r="E7" s="987"/>
      <c r="F7" s="984"/>
      <c r="G7" s="984" t="e">
        <f>+VLOOKUP(Data_Validation!$A7,BV_Data_An_Cour!$M:$R,6,0)</f>
        <v>#N/A</v>
      </c>
      <c r="H7" s="182"/>
      <c r="I7" s="158" t="str">
        <f>Print_Mois!K235</f>
        <v>Carrosserie</v>
      </c>
      <c r="K7" s="158" t="str">
        <f>Print_Mois!V490</f>
        <v>Amortissement</v>
      </c>
      <c r="M7" s="622" t="s">
        <v>1944</v>
      </c>
    </row>
    <row r="8" spans="1:14" ht="15" customHeight="1">
      <c r="A8" s="1108">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02">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2">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2">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2">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2">
        <v>120</v>
      </c>
      <c r="B13" s="163" t="s">
        <v>2945</v>
      </c>
      <c r="C13" s="934"/>
      <c r="D13" s="934"/>
      <c r="E13" s="984"/>
      <c r="F13" s="985"/>
      <c r="G13" s="984" t="e">
        <f>+VLOOKUP(Data_Validation!$A13,BV_Data_An_Cour!$M:$R,6,0)</f>
        <v>#N/A</v>
      </c>
      <c r="H13" s="182"/>
      <c r="K13" s="158"/>
    </row>
    <row r="14" spans="1:14" ht="15" customHeight="1">
      <c r="A14" s="1102">
        <v>229</v>
      </c>
      <c r="B14" s="163" t="s">
        <v>2221</v>
      </c>
      <c r="C14" s="934"/>
      <c r="D14" s="934"/>
      <c r="E14" s="984"/>
      <c r="F14" s="985"/>
      <c r="G14" s="984" t="e">
        <f>+VLOOKUP(Data_Validation!$A14,BV_Data_An_Cour!$M:$R,6,0)</f>
        <v>#N/A</v>
      </c>
      <c r="H14" s="182"/>
      <c r="K14" s="158" t="str">
        <f>Print_Mois!C311</f>
        <v>Autostock</v>
      </c>
      <c r="M14" s="181" t="s">
        <v>1944</v>
      </c>
    </row>
    <row r="15" spans="1:14" ht="15" customHeight="1">
      <c r="A15" s="1102">
        <v>230</v>
      </c>
      <c r="B15" s="163" t="s">
        <v>2224</v>
      </c>
      <c r="C15" s="934"/>
      <c r="D15" s="934"/>
      <c r="E15" s="984" t="s">
        <v>1913</v>
      </c>
      <c r="F15" s="985"/>
      <c r="G15" s="984" t="e">
        <f>+VLOOKUP(Data_Validation!$A15,BV_Data_An_Cour!$M:$R,6,0)</f>
        <v>#N/A</v>
      </c>
      <c r="H15" s="182"/>
      <c r="K15" s="158" t="s">
        <v>26</v>
      </c>
      <c r="N15" s="181"/>
    </row>
    <row r="16" spans="1:14" ht="15" customHeight="1">
      <c r="A16" s="1102">
        <v>234</v>
      </c>
      <c r="B16" s="163" t="s">
        <v>2226</v>
      </c>
      <c r="C16" s="934"/>
      <c r="D16" s="934"/>
      <c r="E16" s="984"/>
      <c r="F16" s="985"/>
      <c r="G16" s="984" t="e">
        <f>+VLOOKUP(Data_Validation!$A16,BV_Data_An_Cour!$M:$R,6,0)</f>
        <v>#N/A</v>
      </c>
      <c r="H16" s="182"/>
      <c r="K16" s="158" t="s">
        <v>40</v>
      </c>
      <c r="M16" s="628" t="s">
        <v>1945</v>
      </c>
      <c r="N16" s="181"/>
    </row>
    <row r="17" spans="1:14" ht="15" customHeight="1">
      <c r="A17" s="1102">
        <v>236</v>
      </c>
      <c r="B17" s="163" t="s">
        <v>2228</v>
      </c>
      <c r="C17" s="934"/>
      <c r="D17" s="934"/>
      <c r="E17" s="984"/>
      <c r="F17" s="985"/>
      <c r="G17" s="984" t="e">
        <f>+VLOOKUP(Data_Validation!$A17,BV_Data_An_Cour!$M:$R,6,0)</f>
        <v>#N/A</v>
      </c>
      <c r="H17" s="182"/>
      <c r="K17" s="158" t="s">
        <v>56</v>
      </c>
      <c r="M17" s="564" t="s">
        <v>1943</v>
      </c>
      <c r="N17" s="181"/>
    </row>
    <row r="18" spans="1:14" ht="15" customHeight="1">
      <c r="A18" s="1102">
        <v>238</v>
      </c>
      <c r="B18" s="163" t="s">
        <v>2230</v>
      </c>
      <c r="C18" s="934"/>
      <c r="D18" s="934"/>
      <c r="E18" s="984"/>
      <c r="F18" s="985"/>
      <c r="G18" s="984" t="e">
        <f>+VLOOKUP(Data_Validation!$A18,BV_Data_An_Cour!$M:$R,6,0)</f>
        <v>#N/A</v>
      </c>
      <c r="H18" s="182"/>
      <c r="K18" s="158" t="s">
        <v>14</v>
      </c>
      <c r="M18" s="564" t="s">
        <v>1944</v>
      </c>
      <c r="N18" s="181"/>
    </row>
    <row r="19" spans="1:14" ht="15" customHeight="1">
      <c r="A19" s="1102">
        <v>243</v>
      </c>
      <c r="B19" s="163" t="s">
        <v>2232</v>
      </c>
      <c r="C19" s="934"/>
      <c r="D19" s="934"/>
      <c r="E19" s="984"/>
      <c r="F19" s="985"/>
      <c r="G19" s="984" t="e">
        <f>+VLOOKUP(Data_Validation!$A19,BV_Data_An_Cour!$M:$R,6,0)</f>
        <v>#N/A</v>
      </c>
      <c r="H19" s="182"/>
      <c r="K19" s="158" t="s">
        <v>37</v>
      </c>
      <c r="N19" s="181"/>
    </row>
    <row r="20" spans="1:14" ht="15" customHeight="1">
      <c r="A20" s="1102">
        <v>244</v>
      </c>
      <c r="B20" s="163" t="s">
        <v>2235</v>
      </c>
      <c r="C20" s="934"/>
      <c r="D20" s="934"/>
      <c r="E20" s="984"/>
      <c r="F20" s="985"/>
      <c r="G20" s="984" t="e">
        <f>+VLOOKUP(Data_Validation!$A20,BV_Data_An_Cour!$M:$R,6,0)</f>
        <v>#N/A</v>
      </c>
      <c r="H20" s="182"/>
      <c r="K20" s="158" t="s">
        <v>65</v>
      </c>
      <c r="N20" s="181"/>
    </row>
    <row r="21" spans="1:14" ht="15" customHeight="1">
      <c r="A21" s="1102">
        <v>245</v>
      </c>
      <c r="B21" s="163" t="s">
        <v>2237</v>
      </c>
      <c r="C21" s="934"/>
      <c r="D21" s="934"/>
      <c r="E21" s="984"/>
      <c r="F21" s="985"/>
      <c r="G21" s="984" t="e">
        <f>+VLOOKUP(Data_Validation!$A21,BV_Data_An_Cour!$M:$R,6,0)</f>
        <v>#N/A</v>
      </c>
      <c r="H21" s="182"/>
      <c r="K21" s="158" t="s">
        <v>50</v>
      </c>
      <c r="N21" s="181"/>
    </row>
    <row r="22" spans="1:14" ht="15" customHeight="1">
      <c r="A22" s="1102">
        <v>246</v>
      </c>
      <c r="B22" s="163" t="s">
        <v>2239</v>
      </c>
      <c r="C22" s="934"/>
      <c r="D22" s="934"/>
      <c r="E22" s="984"/>
      <c r="F22" s="985"/>
      <c r="G22" s="984" t="e">
        <f>+VLOOKUP(Data_Validation!$A22,BV_Data_An_Cour!$M:$R,6,0)</f>
        <v>#N/A</v>
      </c>
      <c r="H22" s="182"/>
      <c r="K22" s="158" t="s">
        <v>51</v>
      </c>
      <c r="N22" s="181"/>
    </row>
    <row r="23" spans="1:14" ht="15" customHeight="1">
      <c r="A23" s="1102">
        <v>255</v>
      </c>
      <c r="B23" s="163" t="s">
        <v>2241</v>
      </c>
      <c r="C23" s="934"/>
      <c r="D23" s="934"/>
      <c r="E23" s="984"/>
      <c r="F23" s="985"/>
      <c r="G23" s="984" t="e">
        <f>+VLOOKUP(Data_Validation!$A23,BV_Data_An_Cour!$M:$R,6,0)</f>
        <v>#N/A</v>
      </c>
      <c r="H23" s="182"/>
      <c r="K23" s="158" t="str">
        <f>Print_Mois!V429</f>
        <v>Bénéfices marginaux</v>
      </c>
      <c r="N23" s="181"/>
    </row>
    <row r="24" spans="1:14" ht="15" customHeight="1">
      <c r="A24" s="1102">
        <v>257</v>
      </c>
      <c r="B24" s="163" t="s">
        <v>2243</v>
      </c>
      <c r="C24" s="934"/>
      <c r="D24" s="934"/>
      <c r="E24" s="984"/>
      <c r="F24" s="985"/>
      <c r="G24" s="984" t="e">
        <f>+VLOOKUP(Data_Validation!$A24,BV_Data_An_Cour!$M:$R,6,0)</f>
        <v>#N/A</v>
      </c>
      <c r="H24" s="182"/>
      <c r="K24" s="158" t="s">
        <v>69</v>
      </c>
      <c r="N24" s="181"/>
    </row>
    <row r="25" spans="1:14" ht="15" customHeight="1">
      <c r="A25" s="1102">
        <v>258</v>
      </c>
      <c r="B25" s="163" t="s">
        <v>2245</v>
      </c>
      <c r="C25" s="934"/>
      <c r="D25" s="934"/>
      <c r="E25" s="984"/>
      <c r="F25" s="985"/>
      <c r="G25" s="984" t="e">
        <f>+VLOOKUP(Data_Validation!$A25,BV_Data_An_Cour!$M:$R,6,0)</f>
        <v>#N/A</v>
      </c>
      <c r="H25" s="182"/>
      <c r="K25" s="158" t="s">
        <v>1638</v>
      </c>
      <c r="N25" s="181"/>
    </row>
    <row r="26" spans="1:14" ht="15" customHeight="1">
      <c r="A26" s="1102">
        <v>259</v>
      </c>
      <c r="B26" s="163" t="s">
        <v>2247</v>
      </c>
      <c r="C26" s="934"/>
      <c r="D26" s="934"/>
      <c r="E26" s="984"/>
      <c r="F26" s="985"/>
      <c r="G26" s="984" t="e">
        <f>+VLOOKUP(Data_Validation!$A26,BV_Data_An_Cour!$M:$R,6,0)</f>
        <v>#N/A</v>
      </c>
      <c r="H26" s="182"/>
      <c r="K26" s="158" t="s">
        <v>191</v>
      </c>
      <c r="N26" s="181"/>
    </row>
    <row r="27" spans="1:14" ht="15" customHeight="1">
      <c r="A27" s="1102">
        <v>300</v>
      </c>
      <c r="B27" s="163" t="s">
        <v>2249</v>
      </c>
      <c r="C27" s="934"/>
      <c r="D27" s="934"/>
      <c r="E27" s="984"/>
      <c r="F27" s="985"/>
      <c r="G27" s="984" t="e">
        <f>+VLOOKUP(Data_Validation!$A27,BV_Data_An_Cour!$M:$R,6,0)</f>
        <v>#N/A</v>
      </c>
      <c r="H27" s="182"/>
      <c r="K27" s="158" t="s">
        <v>90</v>
      </c>
      <c r="N27" s="181"/>
    </row>
    <row r="28" spans="1:14" ht="15" customHeight="1">
      <c r="A28" s="1102">
        <v>301</v>
      </c>
      <c r="B28" s="163" t="s">
        <v>2251</v>
      </c>
      <c r="C28" s="934"/>
      <c r="D28" s="934"/>
      <c r="E28" s="984"/>
      <c r="F28" s="985"/>
      <c r="G28" s="984" t="e">
        <f>+VLOOKUP(Data_Validation!$A28,BV_Data_An_Cour!$M:$R,6,0)</f>
        <v>#N/A</v>
      </c>
      <c r="H28" s="182"/>
      <c r="K28" s="158" t="s">
        <v>67</v>
      </c>
      <c r="N28" s="181"/>
    </row>
    <row r="29" spans="1:14" ht="15" customHeight="1">
      <c r="A29" s="1102">
        <v>302</v>
      </c>
      <c r="B29" s="163" t="s">
        <v>2253</v>
      </c>
      <c r="C29" s="934"/>
      <c r="D29" s="934"/>
      <c r="E29" s="984"/>
      <c r="F29" s="985"/>
      <c r="G29" s="984" t="e">
        <f>+VLOOKUP(Data_Validation!$A29,BV_Data_An_Cour!$M:$R,6,0)</f>
        <v>#N/A</v>
      </c>
      <c r="H29" s="182"/>
      <c r="K29" s="158" t="str">
        <f>Print_Mois!C94</f>
        <v>Certifié</v>
      </c>
      <c r="N29" s="181"/>
    </row>
    <row r="30" spans="1:14" ht="15" customHeight="1">
      <c r="A30" s="1102">
        <v>307</v>
      </c>
      <c r="B30" s="163" t="s">
        <v>2255</v>
      </c>
      <c r="C30" s="934"/>
      <c r="D30" s="934"/>
      <c r="E30" s="984"/>
      <c r="F30" s="985"/>
      <c r="G30" s="984" t="e">
        <f>+VLOOKUP(Data_Validation!$A30,BV_Data_An_Cour!$M:$R,6,0)</f>
        <v>#N/A</v>
      </c>
      <c r="H30" s="182"/>
      <c r="K30" s="158" t="str">
        <f>Print_Mois!V457</f>
        <v>Chauffage, éclairage</v>
      </c>
      <c r="N30" s="181"/>
    </row>
    <row r="31" spans="1:14" ht="15" customHeight="1">
      <c r="A31" s="1102">
        <v>311</v>
      </c>
      <c r="B31" s="163" t="s">
        <v>2257</v>
      </c>
      <c r="C31" s="934"/>
      <c r="D31" s="934"/>
      <c r="E31" s="984"/>
      <c r="F31" s="985"/>
      <c r="G31" s="984" t="e">
        <f>+VLOOKUP(Data_Validation!$A31,BV_Data_An_Cour!$M:$R,6,0)</f>
        <v>#N/A</v>
      </c>
      <c r="H31" s="182"/>
      <c r="K31" s="158" t="str">
        <f>Print_Mois!C32</f>
        <v>Comm. F&amp;I</v>
      </c>
    </row>
    <row r="32" spans="1:14" ht="15" customHeight="1">
      <c r="A32" s="1102">
        <v>312</v>
      </c>
      <c r="B32" s="163" t="s">
        <v>2260</v>
      </c>
      <c r="C32" s="934"/>
      <c r="D32" s="934"/>
      <c r="E32" s="984"/>
      <c r="F32" s="985"/>
      <c r="G32" s="984" t="e">
        <f>+VLOOKUP(Data_Validation!$A32,BV_Data_An_Cour!$M:$R,6,0)</f>
        <v>#N/A</v>
      </c>
      <c r="H32" s="182"/>
      <c r="K32" s="158" t="str">
        <f>Print_Mois!C31</f>
        <v>Comm. vendeurs</v>
      </c>
    </row>
    <row r="33" spans="1:11" ht="15" customHeight="1">
      <c r="A33" s="1102">
        <v>313</v>
      </c>
      <c r="B33" s="163" t="s">
        <v>2262</v>
      </c>
      <c r="C33" s="934"/>
      <c r="D33" s="934"/>
      <c r="E33" s="984"/>
      <c r="F33" s="985"/>
      <c r="G33" s="984" t="e">
        <f>+VLOOKUP(Data_Validation!$A33,BV_Data_An_Cour!$M:$R,6,0)</f>
        <v>#N/A</v>
      </c>
      <c r="H33" s="182"/>
      <c r="K33" s="158" t="s">
        <v>16</v>
      </c>
    </row>
    <row r="34" spans="1:11" ht="15" customHeight="1">
      <c r="A34" s="1102">
        <v>316</v>
      </c>
      <c r="B34" s="163" t="s">
        <v>2264</v>
      </c>
      <c r="C34" s="934"/>
      <c r="D34" s="934"/>
      <c r="E34" s="984"/>
      <c r="F34" s="985"/>
      <c r="G34" s="984" t="e">
        <f>+VLOOKUP(Data_Validation!$A34,BV_Data_An_Cour!$M:$R,6,0)</f>
        <v>#N/A</v>
      </c>
      <c r="H34" s="182"/>
      <c r="K34" s="545" t="s">
        <v>1917</v>
      </c>
    </row>
    <row r="35" spans="1:11" ht="15" customHeight="1">
      <c r="A35" s="1102">
        <v>350</v>
      </c>
      <c r="B35" s="163" t="s">
        <v>2266</v>
      </c>
      <c r="C35" s="934"/>
      <c r="D35" s="934"/>
      <c r="E35" s="984"/>
      <c r="F35" s="985"/>
      <c r="G35" s="984" t="e">
        <f>+VLOOKUP(Data_Validation!$A35,BV_Data_An_Cour!$M:$R,6,0)</f>
        <v>#N/A</v>
      </c>
      <c r="H35" s="182"/>
      <c r="K35" s="158" t="s">
        <v>1657</v>
      </c>
    </row>
    <row r="36" spans="1:11" ht="15" customHeight="1">
      <c r="A36" s="1108">
        <v>360</v>
      </c>
      <c r="B36" s="163" t="s">
        <v>2268</v>
      </c>
      <c r="C36" s="934"/>
      <c r="D36" s="934"/>
      <c r="E36" s="984"/>
      <c r="F36" s="985"/>
      <c r="G36" s="984" t="e">
        <f>+VLOOKUP(Data_Validation!$A36,BV_Data_An_Cour!$M:$R,6,0)</f>
        <v>#N/A</v>
      </c>
      <c r="H36" s="182"/>
      <c r="K36" s="158" t="str">
        <f>Print_Mois!V430</f>
        <v>Csst</v>
      </c>
    </row>
    <row r="37" spans="1:11" ht="15" customHeight="1">
      <c r="A37" s="1102">
        <v>370</v>
      </c>
      <c r="B37" s="163" t="s">
        <v>2270</v>
      </c>
      <c r="C37" s="934"/>
      <c r="D37" s="934"/>
      <c r="E37" s="984"/>
      <c r="F37" s="985"/>
      <c r="G37" s="984" t="e">
        <f>+VLOOKUP(Data_Validation!$A37,BV_Data_An_Cour!$M:$R,6,0)</f>
        <v>#N/A</v>
      </c>
      <c r="H37" s="182"/>
      <c r="K37" s="158" t="s">
        <v>38</v>
      </c>
    </row>
    <row r="38" spans="1:11" ht="15" customHeight="1">
      <c r="A38" s="1102">
        <v>372</v>
      </c>
      <c r="B38" s="163" t="s">
        <v>2272</v>
      </c>
      <c r="C38" s="934"/>
      <c r="D38" s="934"/>
      <c r="E38" s="984"/>
      <c r="F38" s="985"/>
      <c r="G38" s="984" t="e">
        <f>+VLOOKUP(Data_Validation!$A38,BV_Data_An_Cour!$M:$R,6,0)</f>
        <v>#N/A</v>
      </c>
      <c r="H38" s="182"/>
      <c r="K38" s="158" t="str">
        <f>Print_Mois!V428</f>
        <v>Déduction à la source</v>
      </c>
    </row>
    <row r="39" spans="1:11" ht="15" customHeight="1">
      <c r="A39" s="1102">
        <v>401</v>
      </c>
      <c r="B39" s="163" t="s">
        <v>2274</v>
      </c>
      <c r="C39" s="934"/>
      <c r="D39" s="934"/>
      <c r="E39" s="984"/>
      <c r="F39" s="985"/>
      <c r="G39" s="984" t="e">
        <f>+VLOOKUP(Data_Validation!$A39,BV_Data_An_Cour!$M:$R,6,0)</f>
        <v>#N/A</v>
      </c>
      <c r="H39" s="182"/>
      <c r="K39" s="158" t="s">
        <v>22</v>
      </c>
    </row>
    <row r="40" spans="1:11" ht="15" customHeight="1">
      <c r="A40" s="1102">
        <v>402</v>
      </c>
      <c r="B40" s="163" t="s">
        <v>2276</v>
      </c>
      <c r="C40" s="934"/>
      <c r="D40" s="934"/>
      <c r="E40" s="984"/>
      <c r="F40" s="985"/>
      <c r="G40" s="984" t="e">
        <f>+VLOOKUP(Data_Validation!$A40,BV_Data_An_Cour!$M:$R,6,0)</f>
        <v>#N/A</v>
      </c>
      <c r="H40" s="182"/>
      <c r="K40" s="158" t="s">
        <v>54</v>
      </c>
    </row>
    <row r="41" spans="1:11" ht="15" customHeight="1">
      <c r="A41" s="1102">
        <v>403</v>
      </c>
      <c r="B41" s="163" t="s">
        <v>2278</v>
      </c>
      <c r="C41" s="934"/>
      <c r="D41" s="934"/>
      <c r="E41" s="984"/>
      <c r="F41" s="985"/>
      <c r="G41" s="984" t="e">
        <f>+VLOOKUP(Data_Validation!$A41,BV_Data_An_Cour!$M:$R,6,0)</f>
        <v>#N/A</v>
      </c>
      <c r="H41" s="182"/>
      <c r="K41" s="158" t="str">
        <f>Print_Mois!V445</f>
        <v>Divers</v>
      </c>
    </row>
    <row r="42" spans="1:11" ht="15" customHeight="1">
      <c r="A42" s="1102">
        <v>404</v>
      </c>
      <c r="B42" s="163" t="s">
        <v>2280</v>
      </c>
      <c r="C42" s="934"/>
      <c r="D42" s="934"/>
      <c r="E42" s="987"/>
      <c r="F42" s="987"/>
      <c r="G42" s="987" t="e">
        <f>+VLOOKUP(Data_Validation!$A42,BV_Data_An_Cour!$M:$R,6,0)</f>
        <v>#N/A</v>
      </c>
      <c r="H42" s="182"/>
      <c r="K42" s="158" t="s">
        <v>70</v>
      </c>
    </row>
    <row r="43" spans="1:11" ht="15" customHeight="1">
      <c r="A43" s="1102">
        <v>405</v>
      </c>
      <c r="B43" s="163" t="s">
        <v>2282</v>
      </c>
      <c r="C43" s="934"/>
      <c r="D43" s="934"/>
      <c r="E43" s="984"/>
      <c r="F43" s="985"/>
      <c r="G43" s="984" t="e">
        <f>+VLOOKUP(Data_Validation!$A43,BV_Data_An_Cour!$M:$R,6,0)</f>
        <v>#N/A</v>
      </c>
      <c r="H43" s="182"/>
      <c r="K43" s="158" t="s">
        <v>252</v>
      </c>
    </row>
    <row r="44" spans="1:11" ht="15" customHeight="1">
      <c r="A44" s="1102">
        <v>406</v>
      </c>
      <c r="B44" s="163" t="s">
        <v>2284</v>
      </c>
      <c r="C44" s="934"/>
      <c r="D44" s="934"/>
      <c r="E44" s="984"/>
      <c r="F44" s="985"/>
      <c r="G44" s="984" t="e">
        <f>+VLOOKUP(Data_Validation!$A44,BV_Data_An_Cour!$M:$R,6,0)</f>
        <v>#N/A</v>
      </c>
      <c r="H44" s="182"/>
      <c r="K44" s="158" t="s">
        <v>30</v>
      </c>
    </row>
    <row r="45" spans="1:11" ht="15" customHeight="1">
      <c r="A45" s="1102">
        <v>407</v>
      </c>
      <c r="B45" s="163" t="s">
        <v>2286</v>
      </c>
      <c r="C45" s="934"/>
      <c r="D45" s="934"/>
      <c r="E45" s="984"/>
      <c r="F45" s="985"/>
      <c r="G45" s="984" t="e">
        <f>+VLOOKUP(Data_Validation!$A45,BV_Data_An_Cour!$M:$R,6,0)</f>
        <v>#N/A</v>
      </c>
      <c r="H45" s="182"/>
      <c r="K45" s="158" t="s">
        <v>32</v>
      </c>
    </row>
    <row r="46" spans="1:11" ht="15" customHeight="1">
      <c r="A46" s="1102">
        <v>408</v>
      </c>
      <c r="B46" s="163" t="s">
        <v>2288</v>
      </c>
      <c r="C46" s="934"/>
      <c r="D46" s="934"/>
      <c r="E46" s="987"/>
      <c r="F46" s="987"/>
      <c r="G46" s="987" t="e">
        <f>+VLOOKUP(Data_Validation!$A46,BV_Data_An_Cour!$M:$R,6,0)</f>
        <v>#N/A</v>
      </c>
      <c r="H46" s="182"/>
      <c r="K46" s="158" t="s">
        <v>8</v>
      </c>
    </row>
    <row r="47" spans="1:11" ht="15" customHeight="1">
      <c r="A47" s="1102">
        <v>409</v>
      </c>
      <c r="B47" s="163" t="s">
        <v>2290</v>
      </c>
      <c r="C47" s="934"/>
      <c r="D47" s="934"/>
      <c r="E47" s="984"/>
      <c r="F47" s="985"/>
      <c r="G47" s="984" t="e">
        <f>+VLOOKUP(Data_Validation!$A47,BV_Data_An_Cour!$M:$R,6,0)</f>
        <v>#N/A</v>
      </c>
      <c r="H47" s="182"/>
      <c r="K47" s="158" t="s">
        <v>62</v>
      </c>
    </row>
    <row r="48" spans="1:11" ht="15" customHeight="1">
      <c r="A48" s="1102">
        <v>410</v>
      </c>
      <c r="B48" s="163" t="s">
        <v>2292</v>
      </c>
      <c r="C48" s="934"/>
      <c r="D48" s="934"/>
      <c r="E48" s="987"/>
      <c r="F48" s="987"/>
      <c r="G48" s="987" t="e">
        <f>+VLOOKUP(Data_Validation!$A48,BV_Data_An_Cour!$M:$R,6,0)</f>
        <v>#N/A</v>
      </c>
      <c r="H48" s="182"/>
      <c r="K48" s="158" t="str">
        <f>Print_Mois!C35</f>
        <v>Entretien stock</v>
      </c>
    </row>
    <row r="49" spans="1:11" ht="15" customHeight="1">
      <c r="A49" s="1102">
        <v>411</v>
      </c>
      <c r="B49" s="163" t="s">
        <v>2294</v>
      </c>
      <c r="C49" s="934"/>
      <c r="D49" s="934"/>
      <c r="E49" s="984"/>
      <c r="F49" s="985"/>
      <c r="G49" s="984" t="e">
        <f>+VLOOKUP(Data_Validation!$A49,BV_Data_An_Cour!$M:$R,6,0)</f>
        <v>#N/A</v>
      </c>
      <c r="H49" s="182"/>
      <c r="K49" s="158" t="s">
        <v>59</v>
      </c>
    </row>
    <row r="50" spans="1:11" s="564" customFormat="1" ht="15" customHeight="1">
      <c r="A50" s="1102">
        <v>412</v>
      </c>
      <c r="B50" s="163" t="s">
        <v>2946</v>
      </c>
      <c r="C50" s="934"/>
      <c r="D50" s="934"/>
      <c r="E50" s="984"/>
      <c r="F50" s="985"/>
      <c r="G50" s="984" t="e">
        <f>+VLOOKUP(Data_Validation!$A50,BV_Data_An_Cour!$M:$R,6,0)</f>
        <v>#N/A</v>
      </c>
      <c r="H50" s="182"/>
      <c r="K50" s="158"/>
    </row>
    <row r="51" spans="1:11" ht="15" customHeight="1">
      <c r="A51" s="1102">
        <v>421</v>
      </c>
      <c r="B51" s="163" t="s">
        <v>2295</v>
      </c>
      <c r="C51" s="934"/>
      <c r="D51" s="934"/>
      <c r="E51" s="984"/>
      <c r="F51" s="985"/>
      <c r="G51" s="984" t="e">
        <f>+VLOOKUP(Data_Validation!$A51,BV_Data_An_Cour!$M:$R,6,0)</f>
        <v>#N/A</v>
      </c>
      <c r="H51" s="182"/>
      <c r="K51" s="158" t="s">
        <v>57</v>
      </c>
    </row>
    <row r="52" spans="1:11" ht="15" customHeight="1">
      <c r="A52" s="1102">
        <v>422</v>
      </c>
      <c r="B52" s="163" t="s">
        <v>2298</v>
      </c>
      <c r="C52" s="934"/>
      <c r="D52" s="934"/>
      <c r="E52" s="984"/>
      <c r="F52" s="985"/>
      <c r="G52" s="984" t="e">
        <f>+VLOOKUP(Data_Validation!$A52,BV_Data_An_Cour!$M:$R,6,0)</f>
        <v>#N/A</v>
      </c>
      <c r="H52" s="182"/>
      <c r="K52" s="158" t="s">
        <v>60</v>
      </c>
    </row>
    <row r="53" spans="1:11" ht="15" customHeight="1">
      <c r="A53" s="1102">
        <v>423</v>
      </c>
      <c r="B53" s="163" t="s">
        <v>2300</v>
      </c>
      <c r="C53" s="934"/>
      <c r="D53" s="934"/>
      <c r="E53" s="984"/>
      <c r="F53" s="985"/>
      <c r="G53" s="984" t="e">
        <f>+VLOOKUP(Data_Validation!$A53,BV_Data_An_Cour!$M:$R,6,0)</f>
        <v>#N/A</v>
      </c>
      <c r="H53" s="182"/>
      <c r="K53" s="158" t="str">
        <f>Print_Mois!C301</f>
        <v>Escomptes</v>
      </c>
    </row>
    <row r="54" spans="1:11" ht="15" customHeight="1">
      <c r="A54" s="1102">
        <v>424</v>
      </c>
      <c r="B54" s="163" t="s">
        <v>2302</v>
      </c>
      <c r="C54" s="934"/>
      <c r="D54" s="934"/>
      <c r="E54" s="984"/>
      <c r="F54" s="985"/>
      <c r="G54" s="984" t="e">
        <f>+VLOOKUP(Data_Validation!$A54,BV_Data_An_Cour!$M:$R,6,0)</f>
        <v>#N/A</v>
      </c>
      <c r="H54" s="182"/>
      <c r="K54" s="158" t="str">
        <f>Print_Mois!C15</f>
        <v>Ex-Démos et courtoisies</v>
      </c>
    </row>
    <row r="55" spans="1:11" ht="15" customHeight="1">
      <c r="A55" s="1102">
        <v>425</v>
      </c>
      <c r="B55" s="163" t="s">
        <v>2304</v>
      </c>
      <c r="C55" s="934"/>
      <c r="D55" s="934"/>
      <c r="E55" s="984"/>
      <c r="F55" s="985"/>
      <c r="G55" s="984" t="e">
        <f>+VLOOKUP(Data_Validation!$A55,BV_Data_An_Cour!$M:$R,6,0)</f>
        <v>#N/A</v>
      </c>
      <c r="H55" s="182"/>
      <c r="K55" s="158" t="str">
        <f>Print_Mois!C17</f>
        <v>Flottes</v>
      </c>
    </row>
    <row r="56" spans="1:11" ht="15" customHeight="1">
      <c r="A56" s="1102">
        <v>426</v>
      </c>
      <c r="B56" s="163" t="s">
        <v>2306</v>
      </c>
      <c r="C56" s="934"/>
      <c r="D56" s="934"/>
      <c r="E56" s="984"/>
      <c r="F56" s="985"/>
      <c r="G56" s="984" t="e">
        <f>+VLOOKUP(Data_Validation!$A56,BV_Data_An_Cour!$M:$R,6,0)</f>
        <v>#N/A</v>
      </c>
      <c r="H56" s="182"/>
      <c r="K56" s="158" t="s">
        <v>1669</v>
      </c>
    </row>
    <row r="57" spans="1:11" ht="15" customHeight="1">
      <c r="A57" s="1102">
        <v>427</v>
      </c>
      <c r="B57" s="163" t="s">
        <v>2308</v>
      </c>
      <c r="C57" s="934"/>
      <c r="D57" s="934"/>
      <c r="E57" s="984"/>
      <c r="F57" s="985"/>
      <c r="G57" s="984" t="e">
        <f>+VLOOKUP(Data_Validation!$A57,BV_Data_An_Cour!$M:$R,6,0)</f>
        <v>#N/A</v>
      </c>
      <c r="H57" s="182"/>
      <c r="K57" s="158" t="str">
        <f>Print_Mois!V446</f>
        <v>Formation</v>
      </c>
    </row>
    <row r="58" spans="1:11" ht="15" customHeight="1">
      <c r="A58" s="1102">
        <v>428</v>
      </c>
      <c r="B58" s="163" t="s">
        <v>2310</v>
      </c>
      <c r="C58" s="934"/>
      <c r="D58" s="934"/>
      <c r="E58" s="984"/>
      <c r="F58" s="985"/>
      <c r="G58" s="984" t="e">
        <f>+VLOOKUP(Data_Validation!$A58,BV_Data_An_Cour!$M:$R,6,0)</f>
        <v>#N/A</v>
      </c>
      <c r="H58" s="182"/>
      <c r="K58" s="158" t="str">
        <f>Print_Mois!V440</f>
        <v>Fournitures autres</v>
      </c>
    </row>
    <row r="59" spans="1:11" ht="15" customHeight="1">
      <c r="A59" s="1102">
        <v>429</v>
      </c>
      <c r="B59" s="163" t="s">
        <v>2312</v>
      </c>
      <c r="C59" s="934"/>
      <c r="D59" s="934"/>
      <c r="E59" s="984"/>
      <c r="F59" s="985"/>
      <c r="G59" s="984" t="e">
        <f>+VLOOKUP(Data_Validation!$A59,BV_Data_An_Cour!$M:$R,6,0)</f>
        <v>#N/A</v>
      </c>
      <c r="H59" s="182"/>
      <c r="K59" s="158" t="s">
        <v>1989</v>
      </c>
    </row>
    <row r="60" spans="1:11" ht="15" customHeight="1">
      <c r="A60" s="1102">
        <v>430</v>
      </c>
      <c r="B60" s="163" t="s">
        <v>2314</v>
      </c>
      <c r="C60" s="934"/>
      <c r="D60" s="934"/>
      <c r="E60" s="984"/>
      <c r="F60" s="985"/>
      <c r="G60" s="984" t="e">
        <f>+VLOOKUP(Data_Validation!$A60,BV_Data_An_Cour!$M:$R,6,0)</f>
        <v>#N/A</v>
      </c>
      <c r="H60" s="182"/>
      <c r="K60" s="158" t="str">
        <f>Print_Mois!V479</f>
        <v>Frais administration</v>
      </c>
    </row>
    <row r="61" spans="1:11" ht="15" customHeight="1">
      <c r="A61" s="1102">
        <v>431</v>
      </c>
      <c r="B61" s="163" t="s">
        <v>2316</v>
      </c>
      <c r="C61" s="934"/>
      <c r="D61" s="934"/>
      <c r="E61" s="984"/>
      <c r="F61" s="985"/>
      <c r="G61" s="984" t="e">
        <f>+VLOOKUP(Data_Validation!$A61,BV_Data_An_Cour!$M:$R,6,0)</f>
        <v>#N/A</v>
      </c>
      <c r="H61" s="182"/>
      <c r="K61" s="158" t="s">
        <v>134</v>
      </c>
    </row>
    <row r="62" spans="1:11" s="564" customFormat="1" ht="15" customHeight="1">
      <c r="A62" s="1102">
        <v>432</v>
      </c>
      <c r="B62" s="163" t="s">
        <v>2953</v>
      </c>
      <c r="C62" s="934"/>
      <c r="D62" s="934"/>
      <c r="E62" s="984"/>
      <c r="F62" s="985"/>
      <c r="G62" s="984" t="e">
        <f>+VLOOKUP(Data_Validation!$A62,BV_Data_An_Cour!$M:$R,6,0)</f>
        <v>#N/A</v>
      </c>
      <c r="H62" s="182"/>
      <c r="K62" s="158"/>
    </row>
    <row r="63" spans="1:11" ht="15" customHeight="1">
      <c r="A63" s="1102">
        <v>500</v>
      </c>
      <c r="B63" s="165" t="s">
        <v>2318</v>
      </c>
      <c r="C63" s="934"/>
      <c r="D63" s="934"/>
      <c r="E63" s="984" t="s">
        <v>1913</v>
      </c>
      <c r="F63" s="984"/>
      <c r="G63" s="984" t="e">
        <f>+VLOOKUP(Data_Validation!$A63,BV_Data_An_Cour!$M:$R,6,0)</f>
        <v>#N/A</v>
      </c>
      <c r="H63" s="182"/>
      <c r="K63" s="158" t="str">
        <f>Print_Mois!V450</f>
        <v>[...]</v>
      </c>
    </row>
    <row r="64" spans="1:11" ht="15" customHeight="1">
      <c r="A64" s="1102">
        <v>511</v>
      </c>
      <c r="B64" s="165" t="s">
        <v>2320</v>
      </c>
      <c r="C64" s="934"/>
      <c r="D64" s="934"/>
      <c r="E64" s="984" t="s">
        <v>1913</v>
      </c>
      <c r="F64" s="984"/>
      <c r="G64" s="984" t="e">
        <f>+VLOOKUP(Data_Validation!$A64,BV_Data_An_Cour!$M:$R,6,0)</f>
        <v>#N/A</v>
      </c>
      <c r="H64" s="182"/>
      <c r="K64" s="158" t="str">
        <f>Print_Mois!V437</f>
        <v>Frais de déplacement</v>
      </c>
    </row>
    <row r="65" spans="1:11" ht="15" customHeight="1">
      <c r="A65" s="1102">
        <v>512</v>
      </c>
      <c r="B65" s="163" t="s">
        <v>2321</v>
      </c>
      <c r="C65" s="934"/>
      <c r="D65" s="934"/>
      <c r="E65" s="984" t="s">
        <v>1913</v>
      </c>
      <c r="F65" s="984"/>
      <c r="G65" s="984" t="e">
        <f>+VLOOKUP(Data_Validation!$A65,BV_Data_An_Cour!$M:$R,6,0)</f>
        <v>#N/A</v>
      </c>
      <c r="H65" s="182"/>
      <c r="K65" s="158" t="str">
        <f>Print_Mois!C33</f>
        <v>Frais de livraison</v>
      </c>
    </row>
    <row r="66" spans="1:11" ht="15" customHeight="1">
      <c r="A66" s="1102">
        <v>514</v>
      </c>
      <c r="B66" s="163" t="s">
        <v>2322</v>
      </c>
      <c r="C66" s="934"/>
      <c r="D66" s="934"/>
      <c r="E66" s="984" t="s">
        <v>1913</v>
      </c>
      <c r="F66" s="984"/>
      <c r="G66" s="984" t="e">
        <f>+VLOOKUP(Data_Validation!$A66,BV_Data_An_Cour!$M:$R,6,0)</f>
        <v>#N/A</v>
      </c>
      <c r="H66" s="182"/>
      <c r="K66" s="158" t="s">
        <v>1678</v>
      </c>
    </row>
    <row r="67" spans="1:11" ht="15" customHeight="1">
      <c r="A67" s="1102">
        <v>515</v>
      </c>
      <c r="B67" s="165" t="s">
        <v>2324</v>
      </c>
      <c r="C67" s="934"/>
      <c r="D67" s="934"/>
      <c r="E67" s="984" t="s">
        <v>1913</v>
      </c>
      <c r="F67" s="984"/>
      <c r="G67" s="984" t="e">
        <f>+VLOOKUP(Data_Validation!$A67,BV_Data_An_Cour!$M:$R,6,0)</f>
        <v>#N/A</v>
      </c>
      <c r="H67" s="182"/>
      <c r="K67" s="158" t="s">
        <v>43</v>
      </c>
    </row>
    <row r="68" spans="1:11" ht="15" customHeight="1">
      <c r="A68" s="1102">
        <v>517</v>
      </c>
      <c r="B68" s="163" t="s">
        <v>2326</v>
      </c>
      <c r="C68" s="934"/>
      <c r="D68" s="934"/>
      <c r="E68" s="984" t="s">
        <v>1913</v>
      </c>
      <c r="F68" s="984"/>
      <c r="G68" s="984" t="e">
        <f>+VLOOKUP(Data_Validation!$A68,BV_Data_An_Cour!$M:$R,6,0)</f>
        <v>#N/A</v>
      </c>
      <c r="H68" s="182"/>
      <c r="K68" s="158" t="str">
        <f>Print_Mois!V444</f>
        <v>Frais postaux</v>
      </c>
    </row>
    <row r="69" spans="1:11" ht="15" customHeight="1">
      <c r="A69" s="1102">
        <v>521</v>
      </c>
      <c r="B69" s="165" t="s">
        <v>2328</v>
      </c>
      <c r="C69" s="934"/>
      <c r="D69" s="934"/>
      <c r="E69" s="984" t="s">
        <v>1913</v>
      </c>
      <c r="F69" s="984"/>
      <c r="G69" s="984" t="e">
        <f>+VLOOKUP(Data_Validation!$A69,BV_Data_An_Cour!$M:$R,6,0)</f>
        <v>#N/A</v>
      </c>
      <c r="H69" s="182"/>
      <c r="K69" s="158" t="s">
        <v>1680</v>
      </c>
    </row>
    <row r="70" spans="1:11" ht="15" customHeight="1">
      <c r="A70" s="1102">
        <v>522</v>
      </c>
      <c r="B70" s="165" t="s">
        <v>2330</v>
      </c>
      <c r="C70" s="934"/>
      <c r="D70" s="934"/>
      <c r="E70" s="984" t="s">
        <v>1913</v>
      </c>
      <c r="F70" s="984"/>
      <c r="G70" s="984" t="e">
        <f>+VLOOKUP(Data_Validation!$A70,BV_Data_An_Cour!$M:$R,6,0)</f>
        <v>#N/A</v>
      </c>
      <c r="H70" s="182"/>
      <c r="K70" s="158" t="str">
        <f>Print_Mois!V435</f>
        <v>Frais véhicules de cie</v>
      </c>
    </row>
    <row r="71" spans="1:11" ht="15" customHeight="1">
      <c r="A71" s="1102">
        <v>524</v>
      </c>
      <c r="B71" s="165" t="s">
        <v>2332</v>
      </c>
      <c r="C71" s="934"/>
      <c r="D71" s="934"/>
      <c r="E71" s="984" t="s">
        <v>1913</v>
      </c>
      <c r="F71" s="984"/>
      <c r="G71" s="984" t="e">
        <f>+VLOOKUP(Data_Validation!$A71,BV_Data_An_Cour!$M:$R,6,0)</f>
        <v>#N/A</v>
      </c>
      <c r="H71" s="182"/>
      <c r="K71" s="158" t="s">
        <v>1681</v>
      </c>
    </row>
    <row r="72" spans="1:11" ht="15" customHeight="1">
      <c r="A72" s="1108">
        <v>527</v>
      </c>
      <c r="B72" s="165" t="s">
        <v>2334</v>
      </c>
      <c r="C72" s="934"/>
      <c r="D72" s="934"/>
      <c r="E72" s="984" t="s">
        <v>1913</v>
      </c>
      <c r="F72" s="984"/>
      <c r="G72" s="984" t="e">
        <f>+VLOOKUP(Data_Validation!$A72,BV_Data_An_Cour!$M:$R,6,0)</f>
        <v>#N/A</v>
      </c>
      <c r="H72" s="182"/>
      <c r="K72" s="158" t="str">
        <f>Print_Mois!V469</f>
        <v>Holdbacks</v>
      </c>
    </row>
    <row r="73" spans="1:11" ht="15" customHeight="1">
      <c r="A73" s="1102">
        <v>541</v>
      </c>
      <c r="B73" s="165" t="s">
        <v>2336</v>
      </c>
      <c r="C73" s="934"/>
      <c r="D73" s="934"/>
      <c r="E73" s="984" t="s">
        <v>1913</v>
      </c>
      <c r="F73" s="984"/>
      <c r="G73" s="984" t="e">
        <f>+VLOOKUP(Data_Validation!$A73,BV_Data_An_Cour!$M:$R,6,0)</f>
        <v>#N/A</v>
      </c>
      <c r="H73" s="182"/>
      <c r="K73" s="158" t="str">
        <f>Print_Mois!V458</f>
        <v>Honoraires</v>
      </c>
    </row>
    <row r="74" spans="1:11" ht="15" customHeight="1">
      <c r="A74" s="1102">
        <v>542</v>
      </c>
      <c r="B74" s="163" t="s">
        <v>2339</v>
      </c>
      <c r="C74" s="934"/>
      <c r="D74" s="934"/>
      <c r="E74" s="984" t="s">
        <v>1913</v>
      </c>
      <c r="F74" s="984"/>
      <c r="G74" s="984" t="e">
        <f>+VLOOKUP(Data_Validation!$A74,BV_Data_An_Cour!$M:$R,6,0)</f>
        <v>#N/A</v>
      </c>
      <c r="H74" s="182"/>
      <c r="K74" s="158" t="str">
        <f>Print_Mois!C307</f>
        <v>Huiles et Graisse</v>
      </c>
    </row>
    <row r="75" spans="1:11" ht="15" customHeight="1">
      <c r="A75" s="1102">
        <v>551</v>
      </c>
      <c r="B75" s="165" t="s">
        <v>2341</v>
      </c>
      <c r="C75" s="934"/>
      <c r="D75" s="934"/>
      <c r="E75" s="984" t="s">
        <v>1913</v>
      </c>
      <c r="F75" s="984"/>
      <c r="G75" s="984" t="e">
        <f>+VLOOKUP(Data_Validation!$A75,BV_Data_An_Cour!$M:$R,6,0)</f>
        <v>#N/A</v>
      </c>
      <c r="H75" s="182"/>
      <c r="K75" s="158" t="s">
        <v>52</v>
      </c>
    </row>
    <row r="76" spans="1:11" ht="15" customHeight="1">
      <c r="A76" s="1102">
        <v>552</v>
      </c>
      <c r="B76" s="163" t="s">
        <v>2343</v>
      </c>
      <c r="C76" s="934"/>
      <c r="D76" s="934"/>
      <c r="E76" s="984" t="s">
        <v>1913</v>
      </c>
      <c r="F76" s="984"/>
      <c r="G76" s="984" t="e">
        <f>+VLOOKUP(Data_Validation!$A76,BV_Data_An_Cour!$M:$R,6,0)</f>
        <v>#N/A</v>
      </c>
      <c r="H76" s="182"/>
      <c r="K76" s="158" t="s">
        <v>20</v>
      </c>
    </row>
    <row r="77" spans="1:11" ht="15" customHeight="1">
      <c r="A77" s="1109">
        <v>564</v>
      </c>
      <c r="B77" s="991" t="s">
        <v>2855</v>
      </c>
      <c r="C77" s="934"/>
      <c r="D77" s="934"/>
      <c r="E77" s="984" t="s">
        <v>1913</v>
      </c>
      <c r="F77" s="985"/>
      <c r="G77" s="984" t="e">
        <f>+VLOOKUP(Data_Validation!$A77,BV_Data_An_Cour!$M:$R,6,0)</f>
        <v>#N/A</v>
      </c>
      <c r="H77" s="182"/>
      <c r="K77" s="158" t="s">
        <v>48</v>
      </c>
    </row>
    <row r="78" spans="1:11" ht="15" customHeight="1">
      <c r="A78" s="1102">
        <v>614</v>
      </c>
      <c r="B78" s="160" t="s">
        <v>2345</v>
      </c>
      <c r="C78" s="934"/>
      <c r="D78" s="934"/>
      <c r="E78" s="984" t="s">
        <v>1913</v>
      </c>
      <c r="F78" s="984"/>
      <c r="G78" s="984" t="e">
        <f>+VLOOKUP(Data_Validation!$A78,BV_Data_An_Cour!$M:$R,6,0)</f>
        <v>#N/A</v>
      </c>
      <c r="H78" s="182"/>
      <c r="K78" s="158" t="str">
        <f>Print_Mois!V436</f>
        <v>Informatique</v>
      </c>
    </row>
    <row r="79" spans="1:11" ht="15" customHeight="1">
      <c r="A79" s="1102">
        <v>615</v>
      </c>
      <c r="B79" s="160" t="s">
        <v>2348</v>
      </c>
      <c r="C79" s="934"/>
      <c r="D79" s="934"/>
      <c r="E79" s="984" t="s">
        <v>1913</v>
      </c>
      <c r="F79" s="984"/>
      <c r="G79" s="984" t="e">
        <f>+VLOOKUP(Data_Validation!$A79,BV_Data_An_Cour!$M:$R,6,0)</f>
        <v>#N/A</v>
      </c>
      <c r="H79" s="182"/>
      <c r="K79" s="158" t="s">
        <v>172</v>
      </c>
    </row>
    <row r="80" spans="1:11" ht="15" customHeight="1">
      <c r="A80" s="1108">
        <v>621</v>
      </c>
      <c r="B80" s="163" t="s">
        <v>2350</v>
      </c>
      <c r="C80" s="934"/>
      <c r="D80" s="934"/>
      <c r="E80" s="984" t="s">
        <v>1913</v>
      </c>
      <c r="F80" s="984"/>
      <c r="G80" s="984" t="e">
        <f>+VLOOKUP(Data_Validation!$A80,BV_Data_An_Cour!$M:$R,6,0)</f>
        <v>#N/A</v>
      </c>
      <c r="H80" s="182"/>
      <c r="K80" s="158" t="s">
        <v>109</v>
      </c>
    </row>
    <row r="81" spans="1:11" ht="15" customHeight="1">
      <c r="A81" s="1102">
        <v>622</v>
      </c>
      <c r="B81" s="160" t="s">
        <v>2352</v>
      </c>
      <c r="C81" s="934"/>
      <c r="D81" s="934"/>
      <c r="E81" s="984" t="s">
        <v>1913</v>
      </c>
      <c r="F81" s="984"/>
      <c r="G81" s="984" t="e">
        <f>+VLOOKUP(Data_Validation!$A81,BV_Data_An_Cour!$M:$R,6,0)</f>
        <v>#N/A</v>
      </c>
      <c r="H81" s="182"/>
      <c r="K81" s="158" t="str">
        <f>Print_Mois!V491</f>
        <v>Intérêts sur marge</v>
      </c>
    </row>
    <row r="82" spans="1:11" ht="15" customHeight="1">
      <c r="A82" s="1102">
        <v>624</v>
      </c>
      <c r="B82" s="160" t="s">
        <v>2354</v>
      </c>
      <c r="C82" s="934"/>
      <c r="D82" s="934"/>
      <c r="E82" s="984" t="s">
        <v>1913</v>
      </c>
      <c r="F82" s="984"/>
      <c r="G82" s="984" t="e">
        <f>+VLOOKUP(Data_Validation!$A82,BV_Data_An_Cour!$M:$R,6,0)</f>
        <v>#N/A</v>
      </c>
      <c r="H82" s="182"/>
      <c r="K82" s="158" t="str">
        <f>Print_Mois!V492</f>
        <v>Intérêts sur prêt</v>
      </c>
    </row>
    <row r="83" spans="1:11" ht="15" customHeight="1">
      <c r="A83" s="1108">
        <v>644</v>
      </c>
      <c r="B83" s="163" t="s">
        <v>2356</v>
      </c>
      <c r="C83" s="934"/>
      <c r="D83" s="934"/>
      <c r="E83" s="984" t="s">
        <v>1913</v>
      </c>
      <c r="F83" s="984"/>
      <c r="G83" s="984" t="e">
        <f>+VLOOKUP(Data_Validation!$A83,BV_Data_An_Cour!$M:$R,6,0)</f>
        <v>#N/A</v>
      </c>
      <c r="H83" s="182"/>
      <c r="K83" s="158" t="s">
        <v>33</v>
      </c>
    </row>
    <row r="84" spans="1:11" ht="15" customHeight="1">
      <c r="A84" s="1102">
        <v>651</v>
      </c>
      <c r="B84" s="160" t="s">
        <v>2359</v>
      </c>
      <c r="C84" s="934"/>
      <c r="D84" s="934"/>
      <c r="E84" s="984" t="s">
        <v>1913</v>
      </c>
      <c r="F84" s="984"/>
      <c r="G84" s="984" t="e">
        <f>+VLOOKUP(Data_Validation!$A84,BV_Data_An_Cour!$M:$R,6,0)</f>
        <v>#N/A</v>
      </c>
      <c r="H84" s="182"/>
      <c r="K84" s="158" t="s">
        <v>29</v>
      </c>
    </row>
    <row r="85" spans="1:11" ht="15" customHeight="1">
      <c r="A85" s="1102">
        <v>652</v>
      </c>
      <c r="B85" s="163" t="s">
        <v>2361</v>
      </c>
      <c r="C85" s="934"/>
      <c r="D85" s="934"/>
      <c r="E85" s="984" t="s">
        <v>1913</v>
      </c>
      <c r="F85" s="984"/>
      <c r="G85" s="984" t="e">
        <f>+VLOOKUP(Data_Validation!$A85,BV_Data_An_Cour!$M:$R,6,0)</f>
        <v>#N/A</v>
      </c>
      <c r="H85" s="182"/>
      <c r="K85" s="158" t="s">
        <v>31</v>
      </c>
    </row>
    <row r="86" spans="1:11" ht="15" customHeight="1">
      <c r="A86" s="1102">
        <v>654</v>
      </c>
      <c r="B86" s="160" t="s">
        <v>2363</v>
      </c>
      <c r="C86" s="934"/>
      <c r="D86" s="934"/>
      <c r="E86" s="984" t="s">
        <v>1913</v>
      </c>
      <c r="F86" s="984"/>
      <c r="G86" s="984" t="e">
        <f>+VLOOKUP(Data_Validation!$A86,BV_Data_An_Cour!$M:$R,6,0)</f>
        <v>#N/A</v>
      </c>
      <c r="H86" s="182"/>
      <c r="K86" s="158" t="str">
        <f>Print_Mois!V460</f>
        <v>Location équipement</v>
      </c>
    </row>
    <row r="87" spans="1:11" ht="15" customHeight="1">
      <c r="A87" s="1102">
        <v>655</v>
      </c>
      <c r="B87" s="163" t="s">
        <v>2365</v>
      </c>
      <c r="C87" s="934"/>
      <c r="D87" s="934"/>
      <c r="E87" s="984" t="s">
        <v>1913</v>
      </c>
      <c r="F87" s="987"/>
      <c r="G87" s="987" t="e">
        <f>+VLOOKUP(Data_Validation!$A87,BV_Data_An_Cour!$M:$R,6,0)</f>
        <v>#N/A</v>
      </c>
      <c r="H87" s="182"/>
      <c r="K87" s="158" t="str">
        <f>Print_Mois!V452</f>
        <v>Loyer</v>
      </c>
    </row>
    <row r="88" spans="1:11" ht="15" customHeight="1">
      <c r="A88" s="1108">
        <v>657</v>
      </c>
      <c r="B88" s="163" t="s">
        <v>2367</v>
      </c>
      <c r="C88" s="934"/>
      <c r="D88" s="934"/>
      <c r="E88" s="984" t="s">
        <v>1913</v>
      </c>
      <c r="F88" s="984"/>
      <c r="G88" s="984" t="e">
        <f>+VLOOKUP(Data_Validation!$A88,BV_Data_An_Cour!$M:$R,6,0)</f>
        <v>#N/A</v>
      </c>
      <c r="H88" s="182"/>
      <c r="K88" s="158" t="str">
        <f>Print_Mois!C243</f>
        <v>M/O Carrosserie</v>
      </c>
    </row>
    <row r="89" spans="1:11" ht="15" customHeight="1">
      <c r="A89" s="1108">
        <v>661</v>
      </c>
      <c r="B89" s="160" t="s">
        <v>2369</v>
      </c>
      <c r="C89" s="934"/>
      <c r="D89" s="934"/>
      <c r="E89" s="984" t="s">
        <v>1913</v>
      </c>
      <c r="F89" s="984"/>
      <c r="G89" s="984" t="e">
        <f>+VLOOKUP(Data_Validation!$A89,BV_Data_An_Cour!$M:$R,6,0)</f>
        <v>#N/A</v>
      </c>
      <c r="H89" s="182"/>
      <c r="K89" s="158" t="str">
        <f>Print_Mois!C171</f>
        <v>M/O Client</v>
      </c>
    </row>
    <row r="90" spans="1:11" ht="15" customHeight="1">
      <c r="A90" s="1102">
        <v>662</v>
      </c>
      <c r="B90" s="163" t="s">
        <v>2371</v>
      </c>
      <c r="C90" s="934"/>
      <c r="D90" s="934"/>
      <c r="E90" s="984" t="s">
        <v>1913</v>
      </c>
      <c r="F90" s="987"/>
      <c r="G90" s="987" t="e">
        <f>+VLOOKUP(Data_Validation!$A90,BV_Data_An_Cour!$M:$R,6,0)</f>
        <v>#N/A</v>
      </c>
      <c r="H90" s="182"/>
      <c r="K90" s="158" t="str">
        <f>Print_Mois!C180</f>
        <v>M/O Esthétique</v>
      </c>
    </row>
    <row r="91" spans="1:11" ht="15" customHeight="1">
      <c r="A91" s="1102">
        <v>664</v>
      </c>
      <c r="B91" s="160" t="s">
        <v>2373</v>
      </c>
      <c r="C91" s="934"/>
      <c r="D91" s="934"/>
      <c r="E91" s="984" t="s">
        <v>1913</v>
      </c>
      <c r="F91" s="984"/>
      <c r="G91" s="984" t="e">
        <f>+VLOOKUP(Data_Validation!$A91,BV_Data_An_Cour!$M:$R,6,0)</f>
        <v>#N/A</v>
      </c>
      <c r="H91" s="182"/>
      <c r="K91" s="158" t="str">
        <f>+Print_Mois!C246</f>
        <v>M/O Esthétique Carr.</v>
      </c>
    </row>
    <row r="92" spans="1:11" ht="15" customHeight="1">
      <c r="A92" s="1102">
        <v>667</v>
      </c>
      <c r="B92" s="160" t="s">
        <v>2375</v>
      </c>
      <c r="C92" s="934"/>
      <c r="D92" s="934"/>
      <c r="E92" s="984" t="s">
        <v>1913</v>
      </c>
      <c r="F92" s="984"/>
      <c r="G92" s="984" t="e">
        <f>+VLOOKUP(Data_Validation!$A92,BV_Data_An_Cour!$M:$R,6,0)</f>
        <v>#N/A</v>
      </c>
      <c r="H92" s="182"/>
      <c r="K92" s="158" t="str">
        <f>Print_Mois!C174</f>
        <v>M/O Garantie</v>
      </c>
    </row>
    <row r="93" spans="1:11" ht="15" customHeight="1">
      <c r="A93" s="1102">
        <v>677</v>
      </c>
      <c r="B93" s="165" t="s">
        <v>2377</v>
      </c>
      <c r="C93" s="934"/>
      <c r="D93" s="934"/>
      <c r="E93" s="984" t="s">
        <v>1913</v>
      </c>
      <c r="F93" s="985"/>
      <c r="G93" s="984" t="e">
        <f>+VLOOKUP(Data_Validation!$A93,BV_Data_An_Cour!$M:$R,6,0)</f>
        <v>#N/A</v>
      </c>
      <c r="H93" s="182"/>
      <c r="K93" s="158" t="str">
        <f>Print_Mois!C177</f>
        <v>M/O Interne</v>
      </c>
    </row>
    <row r="94" spans="1:11" ht="15" customHeight="1">
      <c r="A94" s="1102">
        <v>1102</v>
      </c>
      <c r="B94" s="163" t="s">
        <v>2845</v>
      </c>
      <c r="C94" s="934" t="s">
        <v>1638</v>
      </c>
      <c r="D94" s="934" t="s">
        <v>8</v>
      </c>
      <c r="E94" s="984" t="s">
        <v>1913</v>
      </c>
      <c r="F94" s="985"/>
      <c r="G94" s="984" t="e">
        <f>+VLOOKUP(Data_Validation!$A94,BV_Data_An_Cour!$M:$R,6,0)</f>
        <v>#N/A</v>
      </c>
      <c r="H94" s="182"/>
      <c r="K94" s="158" t="s">
        <v>9</v>
      </c>
    </row>
    <row r="95" spans="1:11" ht="15" customHeight="1">
      <c r="A95" s="1102">
        <v>1103</v>
      </c>
      <c r="B95" s="163" t="s">
        <v>2877</v>
      </c>
      <c r="C95" s="934" t="s">
        <v>1638</v>
      </c>
      <c r="D95" s="934" t="s">
        <v>8</v>
      </c>
      <c r="E95" s="984" t="s">
        <v>1913</v>
      </c>
      <c r="F95" s="985"/>
      <c r="G95" s="984" t="e">
        <f>+VLOOKUP(Data_Validation!$A95,BV_Data_An_Cour!$M:$R,6,0)</f>
        <v>#N/A</v>
      </c>
      <c r="H95" s="182"/>
      <c r="K95" s="158" t="s">
        <v>1696</v>
      </c>
    </row>
    <row r="96" spans="1:11" ht="15" customHeight="1">
      <c r="A96" s="1102">
        <v>1104</v>
      </c>
      <c r="B96" s="163" t="s">
        <v>2878</v>
      </c>
      <c r="C96" s="934" t="s">
        <v>1638</v>
      </c>
      <c r="D96" s="934" t="s">
        <v>8</v>
      </c>
      <c r="E96" s="984" t="s">
        <v>1913</v>
      </c>
      <c r="F96" s="985"/>
      <c r="G96" s="984" t="e">
        <f>+VLOOKUP(Data_Validation!$A96,BV_Data_An_Cour!$M:$R,6,0)</f>
        <v>#N/A</v>
      </c>
      <c r="H96" s="182"/>
      <c r="K96" s="158" t="s">
        <v>58</v>
      </c>
    </row>
    <row r="97" spans="1:11" ht="15" customHeight="1">
      <c r="A97" s="1102">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02">
        <v>1107</v>
      </c>
      <c r="B98" s="163" t="s">
        <v>3300</v>
      </c>
      <c r="C98" s="934" t="s">
        <v>1638</v>
      </c>
      <c r="D98" s="934" t="s">
        <v>8</v>
      </c>
      <c r="E98" s="984" t="s">
        <v>1913</v>
      </c>
      <c r="F98" s="985"/>
      <c r="G98" s="984" t="e">
        <f>+VLOOKUP(Data_Validation!$A98,BV_Data_An_Cour!$M:$R,6,0)</f>
        <v>#N/A</v>
      </c>
      <c r="H98" s="182"/>
      <c r="K98" s="158"/>
    </row>
    <row r="99" spans="1:11" ht="15" customHeight="1">
      <c r="A99" s="1102">
        <v>1111</v>
      </c>
      <c r="B99" s="163" t="s">
        <v>3248</v>
      </c>
      <c r="C99" s="934" t="s">
        <v>1638</v>
      </c>
      <c r="D99" s="934" t="s">
        <v>8</v>
      </c>
      <c r="E99" s="984" t="s">
        <v>1913</v>
      </c>
      <c r="F99" s="985"/>
      <c r="G99" s="984" t="e">
        <f>+VLOOKUP(Data_Validation!$A99,BV_Data_An_Cour!$M:$R,6,0)</f>
        <v>#N/A</v>
      </c>
      <c r="H99" s="182"/>
      <c r="K99" s="158" t="str">
        <f>Print_Mois!C296</f>
        <v>P/A Garantie</v>
      </c>
    </row>
    <row r="100" spans="1:11" ht="15" customHeight="1">
      <c r="A100" s="1102">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2">
        <v>1182</v>
      </c>
      <c r="B101" s="163" t="s">
        <v>2382</v>
      </c>
      <c r="C101" s="934" t="s">
        <v>1638</v>
      </c>
      <c r="D101" s="934" t="s">
        <v>8</v>
      </c>
      <c r="E101" s="984" t="s">
        <v>1913</v>
      </c>
      <c r="F101" s="985"/>
      <c r="G101" s="984" t="e">
        <f>+VLOOKUP(Data_Validation!$A101,BV_Data_An_Cour!$M:$R,6,0)</f>
        <v>#N/A</v>
      </c>
      <c r="H101" s="182"/>
      <c r="K101" s="158" t="str">
        <f>Print_Mois!C295</f>
        <v>Pièces Ro Carrosserie</v>
      </c>
    </row>
    <row r="102" spans="1:11" ht="15" customHeight="1">
      <c r="A102" s="1102">
        <v>1188</v>
      </c>
      <c r="B102" s="163" t="s">
        <v>3430</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02">
        <v>1189</v>
      </c>
      <c r="B103" s="163" t="s">
        <v>2382</v>
      </c>
      <c r="C103" s="934" t="s">
        <v>1638</v>
      </c>
      <c r="D103" s="934" t="s">
        <v>8</v>
      </c>
      <c r="E103" s="984" t="s">
        <v>1913</v>
      </c>
      <c r="F103" s="985"/>
      <c r="G103" s="984" t="e">
        <f>+VLOOKUP(Data_Validation!$A103,BV_Data_An_Cour!$M:$R,6,0)</f>
        <v>#N/A</v>
      </c>
      <c r="H103" s="182"/>
      <c r="K103" s="158" t="s">
        <v>11</v>
      </c>
    </row>
    <row r="104" spans="1:11" ht="15" customHeight="1">
      <c r="A104" s="1102">
        <v>1202</v>
      </c>
      <c r="B104" s="163" t="s">
        <v>2176</v>
      </c>
      <c r="C104" s="934" t="s">
        <v>1638</v>
      </c>
      <c r="D104" s="934" t="s">
        <v>12</v>
      </c>
      <c r="E104" s="984" t="s">
        <v>1913</v>
      </c>
      <c r="F104" s="985"/>
      <c r="G104" s="984" t="e">
        <f>+VLOOKUP(Data_Validation!$A104,BV_Data_An_Cour!$M:$R,6,0)</f>
        <v>#N/A</v>
      </c>
      <c r="H104" s="182"/>
      <c r="K104" s="158" t="str">
        <f>Print_Mois!V470</f>
        <v>Programme neuf 1</v>
      </c>
    </row>
    <row r="105" spans="1:11" s="564" customFormat="1" ht="15" customHeight="1">
      <c r="A105" s="1102">
        <v>1302</v>
      </c>
      <c r="B105" s="163" t="s">
        <v>2020</v>
      </c>
      <c r="C105" s="934" t="s">
        <v>1638</v>
      </c>
      <c r="D105" s="934" t="s">
        <v>13</v>
      </c>
      <c r="E105" s="984" t="s">
        <v>1913</v>
      </c>
      <c r="F105" s="985"/>
      <c r="G105" s="984" t="e">
        <f>+VLOOKUP(Data_Validation!$A105,BV_Data_An_Cour!$M:$R,6,0)</f>
        <v>#N/A</v>
      </c>
      <c r="H105" s="182"/>
      <c r="K105" s="158" t="s">
        <v>24</v>
      </c>
    </row>
    <row r="106" spans="1:11" s="564" customFormat="1" ht="15" customHeight="1">
      <c r="A106" s="1102">
        <v>1303</v>
      </c>
      <c r="B106" s="163" t="s">
        <v>2008</v>
      </c>
      <c r="C106" s="934" t="s">
        <v>1638</v>
      </c>
      <c r="D106" s="934" t="s">
        <v>13</v>
      </c>
      <c r="E106" s="984" t="s">
        <v>1913</v>
      </c>
      <c r="F106" s="985"/>
      <c r="G106" s="984" t="e">
        <f>+VLOOKUP(Data_Validation!$A106,BV_Data_An_Cour!$M:$R,6,0)</f>
        <v>#N/A</v>
      </c>
      <c r="H106" s="182"/>
      <c r="K106" s="158"/>
    </row>
    <row r="107" spans="1:11" ht="15" customHeight="1">
      <c r="A107" s="1102">
        <v>1304</v>
      </c>
      <c r="B107" s="163" t="s">
        <v>2095</v>
      </c>
      <c r="C107" s="934" t="s">
        <v>1638</v>
      </c>
      <c r="D107" s="934" t="s">
        <v>17</v>
      </c>
      <c r="E107" s="984" t="s">
        <v>1913</v>
      </c>
      <c r="F107" s="985"/>
      <c r="G107" s="984" t="e">
        <f>+VLOOKUP(Data_Validation!$A107,BV_Data_An_Cour!$M:$R,6,0)</f>
        <v>#N/A</v>
      </c>
      <c r="H107" s="182"/>
      <c r="K107" s="158" t="str">
        <f>Print_Mois!V471</f>
        <v>Programme neuf 2</v>
      </c>
    </row>
    <row r="108" spans="1:11" ht="15" customHeight="1">
      <c r="A108" s="1102">
        <v>1305</v>
      </c>
      <c r="B108" s="163" t="s">
        <v>2728</v>
      </c>
      <c r="C108" s="934" t="s">
        <v>1638</v>
      </c>
      <c r="D108" s="934" t="s">
        <v>21</v>
      </c>
      <c r="E108" s="984" t="s">
        <v>1913</v>
      </c>
      <c r="F108" s="985"/>
      <c r="G108" s="984" t="e">
        <f>+VLOOKUP(Data_Validation!$A110,BV_Data_An_Cour!$M:$R,6,0)</f>
        <v>#N/A</v>
      </c>
      <c r="H108" s="182"/>
      <c r="K108" s="158" t="str">
        <f>Print_Mois!V472</f>
        <v>Programme neuf 3</v>
      </c>
    </row>
    <row r="109" spans="1:11" ht="15" customHeight="1">
      <c r="A109" s="162">
        <v>1306</v>
      </c>
      <c r="B109" s="163" t="s">
        <v>2928</v>
      </c>
      <c r="C109" s="934" t="s">
        <v>1638</v>
      </c>
      <c r="D109" s="934" t="s">
        <v>23</v>
      </c>
      <c r="E109" s="984" t="s">
        <v>1913</v>
      </c>
      <c r="F109" s="985"/>
      <c r="G109" s="984" t="s">
        <v>290</v>
      </c>
      <c r="H109" s="182"/>
      <c r="K109" s="158" t="s">
        <v>108</v>
      </c>
    </row>
    <row r="110" spans="1:11" ht="15" customHeight="1">
      <c r="A110" s="162">
        <v>1307</v>
      </c>
      <c r="B110" s="163" t="s">
        <v>2944</v>
      </c>
      <c r="C110" s="934" t="s">
        <v>1638</v>
      </c>
      <c r="D110" s="934" t="s">
        <v>23</v>
      </c>
      <c r="E110" s="984" t="s">
        <v>1913</v>
      </c>
      <c r="F110" s="985"/>
      <c r="G110" s="984" t="s">
        <v>290</v>
      </c>
      <c r="H110" s="182"/>
      <c r="K110" s="158" t="s">
        <v>121</v>
      </c>
    </row>
    <row r="111" spans="1:11" ht="15" customHeight="1">
      <c r="A111" s="1102">
        <v>1312</v>
      </c>
      <c r="B111" s="163" t="s">
        <v>2825</v>
      </c>
      <c r="C111" s="934" t="s">
        <v>1638</v>
      </c>
      <c r="D111" s="934" t="s">
        <v>15</v>
      </c>
      <c r="E111" s="984" t="s">
        <v>1913</v>
      </c>
      <c r="F111" s="985"/>
      <c r="G111" s="984" t="e">
        <f>+VLOOKUP(Data_Validation!$A111,BV_Data_An_Cour!$M:$R,6,0)</f>
        <v>#N/A</v>
      </c>
      <c r="H111" s="182"/>
      <c r="K111" s="158" t="str">
        <f>Print_Mois!C19</f>
        <v>Rachat bail</v>
      </c>
    </row>
    <row r="112" spans="1:11" ht="15" customHeight="1">
      <c r="A112" s="1102">
        <v>1332</v>
      </c>
      <c r="B112" s="163" t="s">
        <v>2053</v>
      </c>
      <c r="C112" s="934" t="s">
        <v>1638</v>
      </c>
      <c r="D112" s="934" t="s">
        <v>19</v>
      </c>
      <c r="E112" s="984" t="s">
        <v>1913</v>
      </c>
      <c r="F112" s="985"/>
      <c r="G112" s="984" t="e">
        <f>+VLOOKUP(Data_Validation!$A112,BV_Data_An_Cour!$M:$R,6,0)</f>
        <v>#N/A</v>
      </c>
      <c r="H112" s="182"/>
      <c r="K112" s="158" t="s">
        <v>25</v>
      </c>
    </row>
    <row r="113" spans="1:11" ht="15" customHeight="1">
      <c r="A113" s="1102">
        <v>1340</v>
      </c>
      <c r="B113" s="163" t="s">
        <v>2774</v>
      </c>
      <c r="C113" s="934" t="s">
        <v>1638</v>
      </c>
      <c r="D113" s="934" t="s">
        <v>1927</v>
      </c>
      <c r="E113" s="984" t="s">
        <v>1913</v>
      </c>
      <c r="F113" s="985"/>
      <c r="G113" s="984" t="e">
        <f>+VLOOKUP(Data_Validation!$A113,BV_Data_An_Cour!$M:$R,6,0)</f>
        <v>#N/A</v>
      </c>
      <c r="H113" s="182"/>
      <c r="K113" s="158" t="s">
        <v>21</v>
      </c>
    </row>
    <row r="114" spans="1:11" ht="15" customHeight="1">
      <c r="A114" s="1102">
        <v>1352</v>
      </c>
      <c r="B114" s="163" t="s">
        <v>2013</v>
      </c>
      <c r="C114" s="934" t="s">
        <v>1638</v>
      </c>
      <c r="D114" s="934" t="s">
        <v>15</v>
      </c>
      <c r="E114" s="984" t="s">
        <v>1913</v>
      </c>
      <c r="F114" s="985"/>
      <c r="G114" s="984" t="e">
        <f>+VLOOKUP(Data_Validation!$A114,BV_Data_An_Cour!$M:$R,6,0)</f>
        <v>#N/A</v>
      </c>
      <c r="H114" s="182"/>
      <c r="K114" s="158" t="s">
        <v>12</v>
      </c>
    </row>
    <row r="115" spans="1:11" ht="15" customHeight="1">
      <c r="A115" s="1109">
        <v>1360</v>
      </c>
      <c r="B115" s="991" t="s">
        <v>2880</v>
      </c>
      <c r="C115" s="934" t="s">
        <v>1638</v>
      </c>
      <c r="D115" s="934" t="s">
        <v>25</v>
      </c>
      <c r="E115" s="984" t="s">
        <v>1913</v>
      </c>
      <c r="F115" s="985"/>
      <c r="G115" s="984" t="e">
        <f>+VLOOKUP(Data_Validation!$A115,BV_Data_An_Cour!$M:$R,6,0)</f>
        <v>#N/A</v>
      </c>
      <c r="H115" s="182"/>
      <c r="K115" s="158" t="s">
        <v>12</v>
      </c>
    </row>
    <row r="116" spans="1:11" ht="15" customHeight="1">
      <c r="A116" s="1109">
        <v>1362</v>
      </c>
      <c r="B116" s="991" t="s">
        <v>2880</v>
      </c>
      <c r="C116" s="934" t="s">
        <v>1638</v>
      </c>
      <c r="D116" s="934" t="s">
        <v>25</v>
      </c>
      <c r="E116" s="984" t="s">
        <v>1913</v>
      </c>
      <c r="F116" s="985"/>
      <c r="G116" s="984" t="e">
        <f>+VLOOKUP(Data_Validation!$A116,BV_Data_An_Cour!$M:$R,6,0)</f>
        <v>#N/A</v>
      </c>
      <c r="H116" s="182"/>
      <c r="K116" s="158" t="s">
        <v>19</v>
      </c>
    </row>
    <row r="117" spans="1:11" ht="15" customHeight="1">
      <c r="A117" s="1102">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2">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2">
        <v>1399</v>
      </c>
      <c r="B119" s="163" t="s">
        <v>2856</v>
      </c>
      <c r="C119" s="934" t="s">
        <v>1638</v>
      </c>
      <c r="D119" s="934" t="s">
        <v>17</v>
      </c>
      <c r="E119" s="984" t="s">
        <v>1913</v>
      </c>
      <c r="F119" s="985"/>
      <c r="G119" s="986" t="e">
        <f>+VLOOKUP(Data_Validation!$A119,BV_Data_An_Cour!$M:$R,6,0)</f>
        <v>#N/A</v>
      </c>
      <c r="H119" s="182"/>
      <c r="K119" s="158" t="s">
        <v>184</v>
      </c>
    </row>
    <row r="120" spans="1:11" s="564" customFormat="1" ht="15" customHeight="1">
      <c r="A120" s="1102">
        <v>1402</v>
      </c>
      <c r="B120" s="163" t="s">
        <v>2102</v>
      </c>
      <c r="C120" s="934" t="s">
        <v>1638</v>
      </c>
      <c r="D120" s="934" t="s">
        <v>29</v>
      </c>
      <c r="E120" s="984" t="s">
        <v>1913</v>
      </c>
      <c r="F120" s="985"/>
      <c r="G120" s="984" t="e">
        <f>+VLOOKUP(Data_Validation!$A120,BV_Data_An_Cour!$M:$R,6,0)</f>
        <v>#N/A</v>
      </c>
      <c r="H120" s="182"/>
      <c r="K120" s="158" t="s">
        <v>23</v>
      </c>
    </row>
    <row r="121" spans="1:11" ht="15" customHeight="1">
      <c r="A121" s="1102">
        <v>1403</v>
      </c>
      <c r="B121" s="163" t="s">
        <v>2111</v>
      </c>
      <c r="C121" s="934" t="s">
        <v>1638</v>
      </c>
      <c r="D121" s="934" t="s">
        <v>29</v>
      </c>
      <c r="E121" s="984" t="s">
        <v>1913</v>
      </c>
      <c r="F121" s="985"/>
      <c r="G121" s="984" t="e">
        <f>+VLOOKUP(Data_Validation!$A121,BV_Data_An_Cour!$M:$R,6,0)</f>
        <v>#N/A</v>
      </c>
      <c r="H121" s="182"/>
      <c r="K121" s="158" t="str">
        <f>Print_Mois!V459</f>
        <v>Réparation équipement</v>
      </c>
    </row>
    <row r="122" spans="1:11" ht="15" customHeight="1">
      <c r="A122" s="1102">
        <v>1413</v>
      </c>
      <c r="B122" s="163" t="s">
        <v>2752</v>
      </c>
      <c r="C122" s="934" t="s">
        <v>1638</v>
      </c>
      <c r="D122" s="934" t="s">
        <v>31</v>
      </c>
      <c r="E122" s="984" t="s">
        <v>1913</v>
      </c>
      <c r="F122" s="985"/>
      <c r="G122" s="984" t="e">
        <f>+VLOOKUP(Data_Validation!$A122,BV_Data_An_Cour!$M:$R,6,0)</f>
        <v>#N/A</v>
      </c>
      <c r="H122" s="182"/>
      <c r="K122" s="158" t="s">
        <v>1708</v>
      </c>
    </row>
    <row r="123" spans="1:11" ht="15" customHeight="1">
      <c r="A123" s="1102">
        <v>1416</v>
      </c>
      <c r="B123" s="163" t="s">
        <v>2817</v>
      </c>
      <c r="C123" s="934" t="s">
        <v>1638</v>
      </c>
      <c r="D123" s="934" t="s">
        <v>31</v>
      </c>
      <c r="E123" s="984" t="s">
        <v>1913</v>
      </c>
      <c r="F123" s="985"/>
      <c r="G123" s="984" t="e">
        <f>+VLOOKUP(Data_Validation!$A123,BV_Data_An_Cour!$M:$R,6,0)</f>
        <v>#N/A</v>
      </c>
      <c r="H123" s="182"/>
      <c r="K123" s="158" t="str">
        <f>Print_Mois!C23</f>
        <v>Rev. Autres</v>
      </c>
    </row>
    <row r="124" spans="1:11" ht="15" customHeight="1">
      <c r="A124" s="1102">
        <v>1423</v>
      </c>
      <c r="B124" s="163" t="s">
        <v>2858</v>
      </c>
      <c r="C124" s="934" t="s">
        <v>1638</v>
      </c>
      <c r="D124" s="934" t="s">
        <v>29</v>
      </c>
      <c r="E124" s="984" t="s">
        <v>1913</v>
      </c>
      <c r="F124" s="985"/>
      <c r="G124" s="986" t="e">
        <f>+VLOOKUP(Data_Validation!$A125,BV_Data_An_Cour!$M:$R,6,0)</f>
        <v>#N/A</v>
      </c>
      <c r="H124" s="182"/>
      <c r="K124" s="158" t="str">
        <f>Print_Mois!C21</f>
        <v>Rev. Finances</v>
      </c>
    </row>
    <row r="125" spans="1:11" ht="15" customHeight="1">
      <c r="A125" s="1102">
        <v>1433</v>
      </c>
      <c r="B125" s="163" t="s">
        <v>2860</v>
      </c>
      <c r="C125" s="934" t="s">
        <v>1638</v>
      </c>
      <c r="D125" s="934" t="s">
        <v>29</v>
      </c>
      <c r="E125" s="984" t="s">
        <v>1913</v>
      </c>
      <c r="F125" s="985"/>
      <c r="G125" s="986">
        <f>+VLOOKUP(Data_Validation!$A126,BV_Data_An_Cour!$M:$R,6,0)</f>
        <v>0</v>
      </c>
      <c r="H125" s="182"/>
      <c r="K125" s="158" t="str">
        <f>Print_Mois!C22</f>
        <v>Rev. Protections</v>
      </c>
    </row>
    <row r="126" spans="1:11" ht="15" customHeight="1">
      <c r="A126" s="1102">
        <v>1442</v>
      </c>
      <c r="B126" s="163" t="s">
        <v>2025</v>
      </c>
      <c r="C126" s="934" t="s">
        <v>1638</v>
      </c>
      <c r="D126" s="934" t="s">
        <v>33</v>
      </c>
      <c r="E126" s="984" t="s">
        <v>1913</v>
      </c>
      <c r="F126" s="985"/>
      <c r="G126" s="984">
        <f>+VLOOKUP(Data_Validation!$A127,BV_Data_An_Cour!$M:$R,6,0)</f>
        <v>0</v>
      </c>
      <c r="H126" s="182"/>
      <c r="K126" s="158" t="str">
        <f>Print_Mois!V468</f>
        <v>Revenus autres</v>
      </c>
    </row>
    <row r="127" spans="1:11" ht="15" customHeight="1">
      <c r="A127" s="1102">
        <v>1448</v>
      </c>
      <c r="B127" s="163" t="s">
        <v>2862</v>
      </c>
      <c r="C127" s="934" t="s">
        <v>1638</v>
      </c>
      <c r="D127" s="934" t="s">
        <v>33</v>
      </c>
      <c r="E127" s="984" t="s">
        <v>1913</v>
      </c>
      <c r="F127" s="985"/>
      <c r="G127" s="986">
        <f>+VLOOKUP(Data_Validation!$A128,BV_Data_An_Cour!$M:$R,6,0)</f>
        <v>0</v>
      </c>
      <c r="H127" s="182"/>
      <c r="K127" s="158" t="s">
        <v>36</v>
      </c>
    </row>
    <row r="128" spans="1:11" ht="15" customHeight="1">
      <c r="A128" s="1102">
        <v>1452</v>
      </c>
      <c r="B128" s="163" t="s">
        <v>2815</v>
      </c>
      <c r="C128" s="934" t="s">
        <v>1638</v>
      </c>
      <c r="D128" s="934" t="s">
        <v>33</v>
      </c>
      <c r="E128" s="984" t="s">
        <v>1913</v>
      </c>
      <c r="F128" s="985"/>
      <c r="G128" s="984">
        <f>+VLOOKUP(Data_Validation!$A129,BV_Data_An_Cour!$M:$R,6,0)</f>
        <v>0</v>
      </c>
      <c r="H128" s="182"/>
      <c r="K128" s="158" t="str">
        <f>Print_Mois!V422</f>
        <v>Salaires autres</v>
      </c>
    </row>
    <row r="129" spans="1:29" ht="15" customHeight="1">
      <c r="A129" s="1102">
        <v>1456</v>
      </c>
      <c r="B129" s="163" t="s">
        <v>2731</v>
      </c>
      <c r="C129" s="934" t="s">
        <v>1638</v>
      </c>
      <c r="D129" s="934" t="s">
        <v>33</v>
      </c>
      <c r="E129" s="984" t="s">
        <v>1913</v>
      </c>
      <c r="F129" s="985"/>
      <c r="G129" s="984" t="e">
        <f>+VLOOKUP(Data_Validation!$A130,BV_Data_An_Cour!$M:$R,6,0)</f>
        <v>#N/A</v>
      </c>
      <c r="H129" s="182"/>
      <c r="K129" s="158" t="str">
        <f>Print_Mois!V420</f>
        <v>Salaires cadres</v>
      </c>
    </row>
    <row r="130" spans="1:29" ht="15" customHeight="1">
      <c r="A130" s="1102">
        <v>1472</v>
      </c>
      <c r="B130" s="163" t="s">
        <v>2580</v>
      </c>
      <c r="C130" s="934" t="s">
        <v>1638</v>
      </c>
      <c r="D130" s="934" t="s">
        <v>39</v>
      </c>
      <c r="E130" s="984" t="s">
        <v>1913</v>
      </c>
      <c r="F130" s="985"/>
      <c r="G130" s="984" t="e">
        <f>+VLOOKUP(Data_Validation!$A131,BV_Data_An_Cour!$M:$R,6,0)</f>
        <v>#N/A</v>
      </c>
      <c r="H130" s="182"/>
      <c r="K130" s="158" t="str">
        <f>Print_Mois!C43</f>
        <v>Salaires commis</v>
      </c>
    </row>
    <row r="131" spans="1:29" ht="15" customHeight="1">
      <c r="A131" s="1102">
        <v>1474</v>
      </c>
      <c r="B131" s="163" t="s">
        <v>2754</v>
      </c>
      <c r="C131" s="934" t="s">
        <v>1638</v>
      </c>
      <c r="D131" s="934" t="s">
        <v>41</v>
      </c>
      <c r="E131" s="984" t="s">
        <v>1913</v>
      </c>
      <c r="F131" s="985"/>
      <c r="G131" s="984">
        <f>+VLOOKUP(Data_Validation!$A132,BV_Data_An_Cour!$M:$R,6,0)</f>
        <v>0</v>
      </c>
      <c r="H131" s="182"/>
      <c r="K131" s="158" t="str">
        <f>Print_Mois!V421</f>
        <v>Salaires commis</v>
      </c>
    </row>
    <row r="132" spans="1:29" ht="15" customHeight="1">
      <c r="A132" s="1102">
        <v>1492</v>
      </c>
      <c r="B132" s="163" t="s">
        <v>2133</v>
      </c>
      <c r="C132" s="934" t="s">
        <v>1638</v>
      </c>
      <c r="D132" s="934" t="s">
        <v>33</v>
      </c>
      <c r="E132" s="984" t="s">
        <v>1913</v>
      </c>
      <c r="F132" s="985"/>
      <c r="G132" s="984" t="e">
        <f>+VLOOKUP(Data_Validation!$A133,BV_Data_An_Cour!$M:$R,6,0)</f>
        <v>#N/A</v>
      </c>
      <c r="H132" s="182"/>
      <c r="K132" s="158" t="str">
        <f>Print_Mois!V427</f>
        <v>Salaires en absences</v>
      </c>
    </row>
    <row r="133" spans="1:29" ht="15" customHeight="1">
      <c r="A133" s="162">
        <v>1496</v>
      </c>
      <c r="B133" s="163" t="s">
        <v>2854</v>
      </c>
      <c r="C133" s="934" t="s">
        <v>1638</v>
      </c>
      <c r="D133" s="934" t="s">
        <v>33</v>
      </c>
      <c r="E133" s="984" t="s">
        <v>1913</v>
      </c>
      <c r="F133" s="985"/>
      <c r="G133" s="986">
        <f>+VLOOKUP(Data_Validation!$A134,BV_Data_An_Cour!$M:$R,6,0)</f>
        <v>0</v>
      </c>
      <c r="H133" s="182"/>
      <c r="K133" s="158" t="str">
        <f>Print_Mois!V419</f>
        <v>Salaires propriétaire</v>
      </c>
    </row>
    <row r="134" spans="1:29" ht="15" customHeight="1">
      <c r="A134" s="1102">
        <v>1498</v>
      </c>
      <c r="B134" s="163" t="s">
        <v>2682</v>
      </c>
      <c r="C134" s="934" t="s">
        <v>1638</v>
      </c>
      <c r="D134" s="934" t="s">
        <v>33</v>
      </c>
      <c r="E134" s="984" t="s">
        <v>1913</v>
      </c>
      <c r="F134" s="985"/>
      <c r="G134" s="984" t="e">
        <f>+VLOOKUP(Data_Validation!$A135,BV_Data_An_Cour!$M:$R,6,0)</f>
        <v>#N/A</v>
      </c>
      <c r="H134" s="182"/>
      <c r="K134" s="158" t="str">
        <f>Print_Mois!V423</f>
        <v>Salaires spécialistes</v>
      </c>
    </row>
    <row r="135" spans="1:29" ht="15" customHeight="1">
      <c r="A135" s="1102">
        <v>1502</v>
      </c>
      <c r="B135" s="163" t="s">
        <v>2097</v>
      </c>
      <c r="C135" s="934" t="s">
        <v>1638</v>
      </c>
      <c r="D135" s="934" t="s">
        <v>43</v>
      </c>
      <c r="E135" s="984" t="s">
        <v>1913</v>
      </c>
      <c r="F135" s="985"/>
      <c r="G135" s="984" t="e">
        <f>+VLOOKUP(Data_Validation!$A136,BV_Data_An_Cour!$M:$R,6,0)</f>
        <v>#N/A</v>
      </c>
      <c r="H135" s="182"/>
      <c r="K135" s="158" t="str">
        <f>Print_Mois!C34</f>
        <v>Service gratuit 1</v>
      </c>
    </row>
    <row r="136" spans="1:29" ht="15" customHeight="1">
      <c r="A136" s="1102">
        <v>1504</v>
      </c>
      <c r="B136" s="163" t="s">
        <v>2123</v>
      </c>
      <c r="C136" s="934" t="s">
        <v>1638</v>
      </c>
      <c r="D136" s="934" t="s">
        <v>43</v>
      </c>
      <c r="E136" s="984" t="s">
        <v>1913</v>
      </c>
      <c r="F136" s="985"/>
      <c r="G136" s="984" t="e">
        <f>+VLOOKUP(Data_Validation!$A137,BV_Data_An_Cour!$M:$R,6,0)</f>
        <v>#N/A</v>
      </c>
      <c r="H136" s="182"/>
      <c r="K136" s="158" t="str">
        <f>Print_Mois!V434</f>
        <v>Service gratuit 2</v>
      </c>
    </row>
    <row r="137" spans="1:29" ht="15" customHeight="1">
      <c r="A137" s="1108">
        <v>1506</v>
      </c>
      <c r="B137" s="160" t="s">
        <v>2797</v>
      </c>
      <c r="C137" s="934" t="s">
        <v>1638</v>
      </c>
      <c r="D137" s="934" t="s">
        <v>43</v>
      </c>
      <c r="E137" s="984" t="s">
        <v>1913</v>
      </c>
      <c r="F137" s="985"/>
      <c r="G137" s="984" t="e">
        <f>+VLOOKUP(Data_Validation!$A138,BV_Data_An_Cour!$M:$R,6,0)</f>
        <v>#N/A</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08">
        <v>1508</v>
      </c>
      <c r="B138" s="160" t="s">
        <v>2385</v>
      </c>
      <c r="C138" s="934" t="s">
        <v>1638</v>
      </c>
      <c r="D138" s="934" t="s">
        <v>43</v>
      </c>
      <c r="E138" s="984" t="s">
        <v>1913</v>
      </c>
      <c r="F138" s="985"/>
      <c r="G138" s="984" t="e">
        <f>+VLOOKUP(Data_Validation!$A139,BV_Data_An_Cour!$M:$R,6,0)</f>
        <v>#N/A</v>
      </c>
      <c r="H138" s="182"/>
      <c r="K138" s="158" t="s">
        <v>41</v>
      </c>
    </row>
    <row r="139" spans="1:29" ht="15" customHeight="1">
      <c r="A139" s="1108">
        <v>1510</v>
      </c>
      <c r="B139" s="160" t="s">
        <v>2633</v>
      </c>
      <c r="C139" s="934" t="s">
        <v>1638</v>
      </c>
      <c r="D139" s="934" t="s">
        <v>43</v>
      </c>
      <c r="E139" s="984" t="s">
        <v>1913</v>
      </c>
      <c r="F139" s="985"/>
      <c r="G139" s="984" t="e">
        <f>+VLOOKUP(Data_Validation!$A140,BV_Data_An_Cour!$M:$R,6,0)</f>
        <v>#N/A</v>
      </c>
      <c r="H139" s="182"/>
      <c r="K139" s="158" t="str">
        <f>Print_Mois!C187</f>
        <v>Sous-traitement</v>
      </c>
    </row>
    <row r="140" spans="1:29" ht="15" customHeight="1">
      <c r="A140" s="1102">
        <v>1520</v>
      </c>
      <c r="B140" s="163" t="s">
        <v>2145</v>
      </c>
      <c r="C140" s="934" t="s">
        <v>1638</v>
      </c>
      <c r="D140" s="934" t="s">
        <v>43</v>
      </c>
      <c r="E140" s="984" t="s">
        <v>1913</v>
      </c>
      <c r="F140" s="985"/>
      <c r="G140" s="984" t="e">
        <f>+VLOOKUP(Data_Validation!$A141,BV_Data_An_Cour!$M:$R,6,0)</f>
        <v>#N/A</v>
      </c>
      <c r="H140" s="182"/>
      <c r="K140" s="158" t="s">
        <v>121</v>
      </c>
    </row>
    <row r="141" spans="1:29" ht="15" customHeight="1">
      <c r="A141" s="1102">
        <v>1522</v>
      </c>
      <c r="B141" s="163" t="s">
        <v>2387</v>
      </c>
      <c r="C141" s="934" t="s">
        <v>1638</v>
      </c>
      <c r="D141" s="934" t="s">
        <v>43</v>
      </c>
      <c r="E141" s="984" t="s">
        <v>1913</v>
      </c>
      <c r="F141" s="985"/>
      <c r="G141" s="984" t="e">
        <f>+VLOOKUP(Data_Validation!$A142,BV_Data_An_Cour!$M:$R,6,0)</f>
        <v>#N/A</v>
      </c>
      <c r="H141" s="182"/>
      <c r="K141" s="158" t="s">
        <v>91</v>
      </c>
    </row>
    <row r="142" spans="1:29" ht="15" customHeight="1">
      <c r="A142" s="162">
        <v>1524</v>
      </c>
      <c r="B142" s="163" t="s">
        <v>2848</v>
      </c>
      <c r="C142" s="934" t="s">
        <v>1638</v>
      </c>
      <c r="D142" s="934" t="s">
        <v>43</v>
      </c>
      <c r="E142" s="984" t="s">
        <v>1913</v>
      </c>
      <c r="F142" s="985"/>
      <c r="G142" s="986" t="e">
        <f>+VLOOKUP(Data_Validation!$A143,BV_Data_An_Cour!$M:$R,6,0)</f>
        <v>#N/A</v>
      </c>
      <c r="H142" s="182"/>
      <c r="K142" s="158" t="s">
        <v>237</v>
      </c>
    </row>
    <row r="143" spans="1:29" ht="15" customHeight="1">
      <c r="A143" s="1102">
        <v>1528</v>
      </c>
      <c r="B143" s="163" t="s">
        <v>2117</v>
      </c>
      <c r="C143" s="934" t="s">
        <v>1638</v>
      </c>
      <c r="D143" s="934" t="s">
        <v>40</v>
      </c>
      <c r="E143" s="984" t="s">
        <v>1913</v>
      </c>
      <c r="F143" s="985"/>
      <c r="G143" s="984" t="e">
        <f>+VLOOKUP(Data_Validation!$A144,BV_Data_An_Cour!$M:$R,6,0)</f>
        <v>#N/A</v>
      </c>
      <c r="H143" s="182"/>
      <c r="K143" s="158" t="s">
        <v>239</v>
      </c>
    </row>
    <row r="144" spans="1:29" ht="15" customHeight="1">
      <c r="A144" s="1102">
        <v>1530</v>
      </c>
      <c r="B144" s="163" t="s">
        <v>2596</v>
      </c>
      <c r="C144" s="934" t="s">
        <v>1638</v>
      </c>
      <c r="D144" s="934" t="s">
        <v>43</v>
      </c>
      <c r="E144" s="984" t="s">
        <v>1913</v>
      </c>
      <c r="F144" s="985"/>
      <c r="G144" s="984" t="e">
        <f>+VLOOKUP(Data_Validation!$A145,BV_Data_An_Cour!$M:$R,6,0)</f>
        <v>#N/A</v>
      </c>
      <c r="H144" s="182"/>
      <c r="K144" s="158" t="str">
        <f>Print_Mois!V455</f>
        <v>Taxe sur le capital</v>
      </c>
    </row>
    <row r="145" spans="1:11" ht="15" customHeight="1">
      <c r="A145" s="1102">
        <v>1532</v>
      </c>
      <c r="B145" s="163" t="s">
        <v>2174</v>
      </c>
      <c r="C145" s="934" t="s">
        <v>1638</v>
      </c>
      <c r="D145" s="934" t="s">
        <v>43</v>
      </c>
      <c r="E145" s="984" t="s">
        <v>1913</v>
      </c>
      <c r="F145" s="985"/>
      <c r="G145" s="984" t="e">
        <f>+VLOOKUP(Data_Validation!$A146,BV_Data_An_Cour!$M:$R,6,0)</f>
        <v>#N/A</v>
      </c>
      <c r="H145" s="182"/>
      <c r="K145" s="158" t="s">
        <v>18</v>
      </c>
    </row>
    <row r="146" spans="1:11" ht="15" customHeight="1">
      <c r="A146" s="1102">
        <v>1534</v>
      </c>
      <c r="B146" s="163" t="s">
        <v>2192</v>
      </c>
      <c r="C146" s="934" t="s">
        <v>1638</v>
      </c>
      <c r="D146" s="934" t="s">
        <v>43</v>
      </c>
      <c r="E146" s="984" t="s">
        <v>1913</v>
      </c>
      <c r="F146" s="985"/>
      <c r="G146" s="984" t="e">
        <f>+VLOOKUP(Data_Validation!$A147,BV_Data_An_Cour!$M:$R,6,0)</f>
        <v>#N/A</v>
      </c>
      <c r="H146" s="182"/>
      <c r="K146" s="158" t="str">
        <f>Print_Mois!V443</f>
        <v>Téléphone</v>
      </c>
    </row>
    <row r="147" spans="1:11" ht="15" customHeight="1">
      <c r="A147" s="1102">
        <v>1536</v>
      </c>
      <c r="B147" s="163" t="s">
        <v>2389</v>
      </c>
      <c r="C147" s="934" t="s">
        <v>1638</v>
      </c>
      <c r="D147" s="934" t="s">
        <v>43</v>
      </c>
      <c r="E147" s="984" t="s">
        <v>1913</v>
      </c>
      <c r="F147" s="985"/>
      <c r="G147" s="984" t="e">
        <f>+VLOOKUP(Data_Validation!$A148,BV_Data_An_Cour!$M:$R,6,0)</f>
        <v>#N/A</v>
      </c>
      <c r="H147" s="182"/>
      <c r="K147" s="158" t="s">
        <v>39</v>
      </c>
    </row>
    <row r="148" spans="1:11" ht="15" customHeight="1">
      <c r="A148" s="1102">
        <v>1538</v>
      </c>
      <c r="B148" s="163" t="s">
        <v>2673</v>
      </c>
      <c r="C148" s="934" t="s">
        <v>1638</v>
      </c>
      <c r="D148" s="934" t="s">
        <v>43</v>
      </c>
      <c r="E148" s="984" t="s">
        <v>1913</v>
      </c>
      <c r="F148" s="985"/>
      <c r="G148" s="984" t="e">
        <f>+VLOOKUP(Data_Validation!$A149,BV_Data_An_Cour!$M:$R,6,0)</f>
        <v>#N/A</v>
      </c>
      <c r="H148" s="182"/>
      <c r="K148" s="158" t="s">
        <v>128</v>
      </c>
    </row>
    <row r="149" spans="1:11" ht="15" customHeight="1">
      <c r="A149" s="1102">
        <v>1540</v>
      </c>
      <c r="B149" s="163" t="s">
        <v>2776</v>
      </c>
      <c r="C149" s="934" t="s">
        <v>1638</v>
      </c>
      <c r="D149" s="934" t="s">
        <v>43</v>
      </c>
      <c r="E149" s="984" t="s">
        <v>1913</v>
      </c>
      <c r="F149" s="985"/>
      <c r="G149" s="984" t="e">
        <f>+VLOOKUP(Data_Validation!$A150,BV_Data_An_Cour!$M:$R,6,0)</f>
        <v>#N/A</v>
      </c>
      <c r="H149" s="182"/>
      <c r="K149" s="158" t="str">
        <f>Print_Mois!C99</f>
        <v>Ventes au Gros</v>
      </c>
    </row>
    <row r="150" spans="1:11" s="564" customFormat="1" ht="15" customHeight="1">
      <c r="A150" s="1102">
        <v>1544</v>
      </c>
      <c r="B150" s="163" t="s">
        <v>2194</v>
      </c>
      <c r="C150" s="934" t="s">
        <v>1638</v>
      </c>
      <c r="D150" s="934" t="s">
        <v>40</v>
      </c>
      <c r="E150" s="984" t="s">
        <v>1913</v>
      </c>
      <c r="F150" s="985"/>
      <c r="G150" s="984" t="e">
        <f>+VLOOKUP(Data_Validation!$A151,BV_Data_An_Cour!$M:$R,6,0)</f>
        <v>#N/A</v>
      </c>
      <c r="H150" s="182"/>
      <c r="K150" s="158"/>
    </row>
    <row r="151" spans="1:11" ht="15" customHeight="1">
      <c r="A151" s="1102">
        <v>1546</v>
      </c>
      <c r="B151" s="163" t="s">
        <v>2179</v>
      </c>
      <c r="C151" s="934" t="s">
        <v>1638</v>
      </c>
      <c r="D151" s="934" t="s">
        <v>40</v>
      </c>
      <c r="E151" s="984" t="s">
        <v>1913</v>
      </c>
      <c r="F151" s="985"/>
      <c r="G151" s="984" t="e">
        <f>+VLOOKUP(Data_Validation!$A152,BV_Data_An_Cour!$M:$R,6,0)</f>
        <v>#N/A</v>
      </c>
      <c r="H151" s="182"/>
      <c r="K151" s="158" t="str">
        <f>Print_Mois!C299</f>
        <v>Ventes de Gros</v>
      </c>
    </row>
    <row r="152" spans="1:11" ht="15" customHeight="1">
      <c r="A152" s="1102">
        <v>1552</v>
      </c>
      <c r="B152" s="163" t="s">
        <v>2115</v>
      </c>
      <c r="C152" s="934" t="s">
        <v>1638</v>
      </c>
      <c r="D152" s="934" t="s">
        <v>43</v>
      </c>
      <c r="E152" s="984" t="s">
        <v>1913</v>
      </c>
      <c r="F152" s="985"/>
      <c r="G152" s="984" t="e">
        <f>+VLOOKUP(Data_Validation!$A153,BV_Data_An_Cour!$M:$R,6,0)</f>
        <v>#N/A</v>
      </c>
      <c r="H152" s="182"/>
      <c r="K152" s="158" t="s">
        <v>181</v>
      </c>
    </row>
    <row r="153" spans="1:11" ht="15" customHeight="1">
      <c r="A153" s="1102">
        <v>1553</v>
      </c>
      <c r="B153" s="163" t="s">
        <v>2952</v>
      </c>
      <c r="C153" s="934" t="s">
        <v>1638</v>
      </c>
      <c r="D153" s="934" t="s">
        <v>43</v>
      </c>
      <c r="E153" s="984" t="s">
        <v>1913</v>
      </c>
      <c r="F153" s="985"/>
      <c r="G153" s="984" t="e">
        <f>+VLOOKUP(Data_Validation!$A154,BV_Data_An_Cour!$M:$R,6,0)</f>
        <v>#N/A</v>
      </c>
      <c r="H153" s="182"/>
      <c r="K153" s="158" t="str">
        <f>Print_Mois!C297</f>
        <v>Ventes Internes</v>
      </c>
    </row>
    <row r="154" spans="1:11" s="564" customFormat="1" ht="15" customHeight="1">
      <c r="A154" s="1102">
        <v>1582</v>
      </c>
      <c r="B154" s="163" t="s">
        <v>2109</v>
      </c>
      <c r="C154" s="934" t="s">
        <v>1638</v>
      </c>
      <c r="D154" s="934" t="s">
        <v>43</v>
      </c>
      <c r="E154" s="984" t="s">
        <v>1913</v>
      </c>
      <c r="F154" s="985"/>
      <c r="G154" s="984" t="e">
        <f>+VLOOKUP(Data_Validation!$A155,BV_Data_An_Cour!$M:$R,6,0)</f>
        <v>#N/A</v>
      </c>
      <c r="H154" s="182"/>
      <c r="K154" s="158"/>
    </row>
    <row r="155" spans="1:11" ht="15" customHeight="1">
      <c r="A155" s="1102">
        <v>1584</v>
      </c>
      <c r="B155" s="163" t="s">
        <v>2135</v>
      </c>
      <c r="C155" s="934" t="s">
        <v>1638</v>
      </c>
      <c r="D155" s="934" t="s">
        <v>43</v>
      </c>
      <c r="E155" s="984" t="s">
        <v>1913</v>
      </c>
      <c r="F155" s="985"/>
      <c r="G155" s="984" t="e">
        <f>+VLOOKUP(Data_Validation!$A156,BV_Data_An_Cour!$M:$R,6,0)</f>
        <v>#N/A</v>
      </c>
      <c r="H155" s="182"/>
      <c r="K155" s="158" t="str">
        <f>Print_Mois!C306</f>
        <v>Ventes Pneus</v>
      </c>
    </row>
    <row r="156" spans="1:11" ht="15" customHeight="1">
      <c r="A156" s="1102">
        <v>1586</v>
      </c>
      <c r="B156" s="163" t="s">
        <v>2170</v>
      </c>
      <c r="C156" s="934" t="s">
        <v>1638</v>
      </c>
      <c r="D156" s="934" t="s">
        <v>43</v>
      </c>
      <c r="E156" s="984" t="s">
        <v>1913</v>
      </c>
      <c r="F156" s="985"/>
      <c r="G156" s="984" t="e">
        <f>+VLOOKUP(Data_Validation!$A157,BV_Data_An_Cour!$M:$R,6,0)</f>
        <v>#N/A</v>
      </c>
      <c r="H156" s="182"/>
    </row>
    <row r="157" spans="1:11" ht="15" customHeight="1">
      <c r="A157" s="162">
        <v>1591</v>
      </c>
      <c r="B157" s="163" t="s">
        <v>2930</v>
      </c>
      <c r="C157" s="934" t="s">
        <v>1638</v>
      </c>
      <c r="D157" s="934" t="s">
        <v>43</v>
      </c>
      <c r="E157" s="984" t="s">
        <v>1913</v>
      </c>
      <c r="F157" s="985"/>
      <c r="G157" s="984" t="s">
        <v>290</v>
      </c>
      <c r="H157" s="182"/>
    </row>
    <row r="158" spans="1:11" ht="15" customHeight="1">
      <c r="A158" s="1102">
        <v>1592</v>
      </c>
      <c r="B158" s="163" t="s">
        <v>2794</v>
      </c>
      <c r="C158" s="934" t="s">
        <v>1638</v>
      </c>
      <c r="D158" s="934" t="s">
        <v>43</v>
      </c>
      <c r="E158" s="984" t="s">
        <v>1913</v>
      </c>
      <c r="F158" s="985"/>
      <c r="G158" s="984" t="e">
        <f>+VLOOKUP(Data_Validation!$A159,BV_Data_An_Cour!$M:$R,6,0)</f>
        <v>#N/A</v>
      </c>
      <c r="H158" s="182"/>
    </row>
    <row r="159" spans="1:11" ht="15" customHeight="1">
      <c r="A159" s="1102">
        <v>1593</v>
      </c>
      <c r="B159" s="163" t="s">
        <v>475</v>
      </c>
      <c r="C159" s="934" t="s">
        <v>1638</v>
      </c>
      <c r="D159" s="934" t="s">
        <v>43</v>
      </c>
      <c r="E159" s="984" t="s">
        <v>1913</v>
      </c>
      <c r="F159" s="985"/>
      <c r="G159" s="984" t="e">
        <f>+VLOOKUP(Data_Validation!$A160,BV_Data_An_Cour!$M:$R,6,0)</f>
        <v>#N/A</v>
      </c>
      <c r="H159" s="182"/>
    </row>
    <row r="160" spans="1:11" ht="15" customHeight="1">
      <c r="A160" s="1102">
        <v>1594</v>
      </c>
      <c r="B160" s="163" t="s">
        <v>2567</v>
      </c>
      <c r="C160" s="934" t="s">
        <v>1638</v>
      </c>
      <c r="D160" s="934" t="s">
        <v>43</v>
      </c>
      <c r="E160" s="984" t="s">
        <v>1913</v>
      </c>
      <c r="F160" s="985"/>
      <c r="G160" s="984" t="e">
        <f>+VLOOKUP(Data_Validation!$A161,BV_Data_An_Cour!$M:$R,6,0)</f>
        <v>#N/A</v>
      </c>
      <c r="H160" s="182"/>
    </row>
    <row r="161" spans="1:11" ht="15" customHeight="1">
      <c r="A161" s="1102">
        <v>1595</v>
      </c>
      <c r="B161" s="163" t="s">
        <v>2565</v>
      </c>
      <c r="C161" s="934" t="s">
        <v>1638</v>
      </c>
      <c r="D161" s="934" t="s">
        <v>43</v>
      </c>
      <c r="E161" s="984" t="s">
        <v>1913</v>
      </c>
      <c r="F161" s="985"/>
      <c r="G161" s="984" t="e">
        <f>+VLOOKUP(Data_Validation!$A162,BV_Data_An_Cour!$M:$R,6,0)</f>
        <v>#N/A</v>
      </c>
      <c r="H161" s="182"/>
    </row>
    <row r="162" spans="1:11" ht="15" customHeight="1">
      <c r="A162" s="1102">
        <v>1732</v>
      </c>
      <c r="B162" s="163" t="s">
        <v>2391</v>
      </c>
      <c r="C162" s="934" t="s">
        <v>1638</v>
      </c>
      <c r="D162" s="934" t="s">
        <v>53</v>
      </c>
      <c r="E162" s="984" t="s">
        <v>1913</v>
      </c>
      <c r="F162" s="985"/>
      <c r="G162" s="984" t="e">
        <f>+VLOOKUP(Data_Validation!$A163,BV_Data_An_Cour!$M:$R,6,0)</f>
        <v>#N/A</v>
      </c>
      <c r="H162" s="159"/>
    </row>
    <row r="163" spans="1:11" ht="15" customHeight="1">
      <c r="A163" s="1102">
        <v>1733</v>
      </c>
      <c r="B163" s="163" t="s">
        <v>2149</v>
      </c>
      <c r="C163" s="934" t="s">
        <v>1638</v>
      </c>
      <c r="D163" s="934" t="s">
        <v>53</v>
      </c>
      <c r="E163" s="984" t="s">
        <v>1913</v>
      </c>
      <c r="F163" s="985"/>
      <c r="G163" s="984" t="e">
        <f>+VLOOKUP(Data_Validation!$A164,BV_Data_An_Cour!$M:$R,6,0)</f>
        <v>#N/A</v>
      </c>
      <c r="H163" s="159"/>
    </row>
    <row r="164" spans="1:11" ht="15" customHeight="1">
      <c r="A164" s="1102">
        <v>1742</v>
      </c>
      <c r="B164" s="163" t="s">
        <v>2393</v>
      </c>
      <c r="C164" s="934" t="s">
        <v>1638</v>
      </c>
      <c r="D164" s="934" t="s">
        <v>57</v>
      </c>
      <c r="E164" s="984" t="s">
        <v>1913</v>
      </c>
      <c r="F164" s="985"/>
      <c r="G164" s="984" t="e">
        <f>+VLOOKUP(Data_Validation!$A165,BV_Data_An_Cour!$M:$R,6,0)</f>
        <v>#N/A</v>
      </c>
      <c r="H164" s="159"/>
    </row>
    <row r="165" spans="1:11" ht="15" customHeight="1">
      <c r="A165" s="1102">
        <v>1743</v>
      </c>
      <c r="B165" s="163" t="s">
        <v>2119</v>
      </c>
      <c r="C165" s="934" t="s">
        <v>1638</v>
      </c>
      <c r="D165" s="934" t="s">
        <v>57</v>
      </c>
      <c r="E165" s="984" t="s">
        <v>1913</v>
      </c>
      <c r="F165" s="985"/>
      <c r="G165" s="984" t="e">
        <f>+VLOOKUP(Data_Validation!$A166,BV_Data_An_Cour!$M:$R,6,0)</f>
        <v>#N/A</v>
      </c>
      <c r="H165" s="159"/>
    </row>
    <row r="166" spans="1:11" ht="15" customHeight="1">
      <c r="A166" s="1102">
        <v>1744</v>
      </c>
      <c r="B166" s="163" t="s">
        <v>2395</v>
      </c>
      <c r="C166" s="934" t="s">
        <v>1638</v>
      </c>
      <c r="D166" s="934" t="s">
        <v>57</v>
      </c>
      <c r="E166" s="984" t="s">
        <v>1913</v>
      </c>
      <c r="F166" s="985"/>
      <c r="G166" s="984" t="e">
        <f>+VLOOKUP(Data_Validation!$A167,BV_Data_An_Cour!$M:$R,6,0)</f>
        <v>#N/A</v>
      </c>
      <c r="H166" s="159"/>
    </row>
    <row r="167" spans="1:11" ht="15" customHeight="1">
      <c r="A167" s="1102">
        <v>1745</v>
      </c>
      <c r="B167" s="163" t="s">
        <v>2190</v>
      </c>
      <c r="C167" s="934" t="s">
        <v>1638</v>
      </c>
      <c r="D167" s="934" t="s">
        <v>57</v>
      </c>
      <c r="E167" s="984" t="s">
        <v>1913</v>
      </c>
      <c r="F167" s="985"/>
      <c r="G167" s="984" t="e">
        <f>+VLOOKUP(Data_Validation!$A168,BV_Data_An_Cour!$M:$R,6,0)</f>
        <v>#N/A</v>
      </c>
      <c r="H167" s="159"/>
    </row>
    <row r="168" spans="1:11" ht="15" customHeight="1">
      <c r="A168" s="1102">
        <v>1760</v>
      </c>
      <c r="B168" s="163" t="s">
        <v>2397</v>
      </c>
      <c r="C168" s="934" t="s">
        <v>1638</v>
      </c>
      <c r="D168" s="934" t="s">
        <v>60</v>
      </c>
      <c r="E168" s="984" t="s">
        <v>1913</v>
      </c>
      <c r="F168" s="985"/>
      <c r="G168" s="984" t="e">
        <f>+VLOOKUP(Data_Validation!$A169,BV_Data_An_Cour!$M:$R,6,0)</f>
        <v>#N/A</v>
      </c>
      <c r="H168" s="159"/>
    </row>
    <row r="169" spans="1:11" ht="15" customHeight="1">
      <c r="A169" s="1102">
        <v>1761</v>
      </c>
      <c r="B169" s="163" t="s">
        <v>2561</v>
      </c>
      <c r="C169" s="934" t="s">
        <v>1638</v>
      </c>
      <c r="D169" s="934" t="s">
        <v>60</v>
      </c>
      <c r="E169" s="984" t="s">
        <v>1913</v>
      </c>
      <c r="F169" s="985"/>
      <c r="G169" s="984" t="e">
        <f>+VLOOKUP(Data_Validation!$A170,BV_Data_An_Cour!$M:$R,6,0)</f>
        <v>#N/A</v>
      </c>
      <c r="H169" s="159"/>
    </row>
    <row r="170" spans="1:11" ht="15" customHeight="1">
      <c r="A170" s="1102">
        <v>1762</v>
      </c>
      <c r="B170" s="163" t="s">
        <v>2399</v>
      </c>
      <c r="C170" s="934" t="s">
        <v>1638</v>
      </c>
      <c r="D170" s="934" t="s">
        <v>58</v>
      </c>
      <c r="E170" s="984" t="s">
        <v>1913</v>
      </c>
      <c r="F170" s="985"/>
      <c r="G170" s="984" t="e">
        <f>+VLOOKUP(Data_Validation!$A171,BV_Data_An_Cour!$M:$R,6,0)</f>
        <v>#N/A</v>
      </c>
      <c r="H170" s="159"/>
    </row>
    <row r="171" spans="1:11" ht="15" customHeight="1">
      <c r="A171" s="1102">
        <v>1763</v>
      </c>
      <c r="B171" s="163" t="s">
        <v>2156</v>
      </c>
      <c r="C171" s="934" t="s">
        <v>1638</v>
      </c>
      <c r="D171" s="934" t="s">
        <v>58</v>
      </c>
      <c r="E171" s="984" t="s">
        <v>1913</v>
      </c>
      <c r="F171" s="985"/>
      <c r="G171" s="984" t="e">
        <f>+VLOOKUP(Data_Validation!$A172,BV_Data_An_Cour!$M:$R,6,0)</f>
        <v>#N/A</v>
      </c>
      <c r="H171" s="159"/>
    </row>
    <row r="172" spans="1:11" ht="15" customHeight="1">
      <c r="A172" s="1102">
        <v>1772</v>
      </c>
      <c r="B172" s="163" t="s">
        <v>2401</v>
      </c>
      <c r="C172" s="934" t="s">
        <v>1638</v>
      </c>
      <c r="D172" s="934" t="s">
        <v>57</v>
      </c>
      <c r="E172" s="984" t="s">
        <v>1913</v>
      </c>
      <c r="F172" s="985"/>
      <c r="G172" s="984" t="e">
        <f>+VLOOKUP(Data_Validation!$A173,BV_Data_An_Cour!$M:$R,6,0)</f>
        <v>#N/A</v>
      </c>
      <c r="H172" s="159"/>
    </row>
    <row r="173" spans="1:11" ht="15" customHeight="1">
      <c r="A173" s="1102">
        <v>1773</v>
      </c>
      <c r="B173" s="163" t="s">
        <v>2403</v>
      </c>
      <c r="C173" s="934" t="s">
        <v>1638</v>
      </c>
      <c r="D173" s="934" t="s">
        <v>57</v>
      </c>
      <c r="E173" s="984" t="s">
        <v>1913</v>
      </c>
      <c r="F173" s="985"/>
      <c r="G173" s="984" t="e">
        <f>+VLOOKUP(Data_Validation!$A174,BV_Data_An_Cour!$M:$R,6,0)</f>
        <v>#N/A</v>
      </c>
      <c r="H173" s="159"/>
    </row>
    <row r="174" spans="1:11" ht="15" customHeight="1">
      <c r="A174" s="1102">
        <v>1786</v>
      </c>
      <c r="B174" s="163" t="s">
        <v>2559</v>
      </c>
      <c r="C174" s="934" t="s">
        <v>1638</v>
      </c>
      <c r="D174" s="934" t="s">
        <v>59</v>
      </c>
      <c r="E174" s="984" t="s">
        <v>1913</v>
      </c>
      <c r="F174" s="985"/>
      <c r="G174" s="984" t="e">
        <f>+VLOOKUP(Data_Validation!$A175,BV_Data_An_Cour!$M:$R,6,0)</f>
        <v>#N/A</v>
      </c>
      <c r="H174" s="159"/>
      <c r="K174" s="2"/>
    </row>
    <row r="175" spans="1:11" ht="15" customHeight="1">
      <c r="A175" s="1102">
        <v>1787</v>
      </c>
      <c r="B175" s="163" t="s">
        <v>2147</v>
      </c>
      <c r="C175" s="934" t="s">
        <v>1638</v>
      </c>
      <c r="D175" s="934" t="s">
        <v>59</v>
      </c>
      <c r="E175" s="984" t="s">
        <v>1913</v>
      </c>
      <c r="F175" s="985"/>
      <c r="G175" s="984" t="e">
        <f>+VLOOKUP(Data_Validation!$A176,BV_Data_An_Cour!$M:$R,6,0)</f>
        <v>#N/A</v>
      </c>
      <c r="H175" s="159"/>
    </row>
    <row r="176" spans="1:11" ht="15" customHeight="1">
      <c r="A176" s="1102">
        <v>1792</v>
      </c>
      <c r="B176" s="163" t="s">
        <v>819</v>
      </c>
      <c r="C176" s="934" t="s">
        <v>1638</v>
      </c>
      <c r="D176" s="934" t="s">
        <v>62</v>
      </c>
      <c r="E176" s="984" t="s">
        <v>1913</v>
      </c>
      <c r="F176" s="985"/>
      <c r="G176" s="984" t="e">
        <f>+VLOOKUP(Data_Validation!$A177,BV_Data_An_Cour!$M:$R,6,0)</f>
        <v>#N/A</v>
      </c>
      <c r="H176" s="159"/>
    </row>
    <row r="177" spans="1:8" ht="15" customHeight="1">
      <c r="A177" s="1102">
        <v>1793</v>
      </c>
      <c r="B177" s="163" t="s">
        <v>2188</v>
      </c>
      <c r="C177" s="934" t="s">
        <v>1638</v>
      </c>
      <c r="D177" s="934" t="s">
        <v>62</v>
      </c>
      <c r="E177" s="984" t="s">
        <v>1913</v>
      </c>
      <c r="F177" s="985"/>
      <c r="G177" s="984" t="e">
        <f>+VLOOKUP(Data_Validation!$A178,BV_Data_An_Cour!$M:$R,6,0)</f>
        <v>#N/A</v>
      </c>
      <c r="H177" s="159"/>
    </row>
    <row r="178" spans="1:8" ht="15" customHeight="1">
      <c r="A178" s="1102">
        <v>1804</v>
      </c>
      <c r="B178" s="163" t="s">
        <v>2406</v>
      </c>
      <c r="C178" s="934" t="s">
        <v>1638</v>
      </c>
      <c r="D178" s="934" t="s">
        <v>65</v>
      </c>
      <c r="E178" s="984" t="s">
        <v>1913</v>
      </c>
      <c r="F178" s="985"/>
      <c r="G178" s="984" t="e">
        <f>+VLOOKUP(Data_Validation!$A179,BV_Data_An_Cour!$M:$R,6,0)</f>
        <v>#N/A</v>
      </c>
      <c r="H178" s="159"/>
    </row>
    <row r="179" spans="1:8" ht="15" customHeight="1">
      <c r="A179" s="1102">
        <v>1806</v>
      </c>
      <c r="B179" s="163" t="s">
        <v>2743</v>
      </c>
      <c r="C179" s="934" t="s">
        <v>1638</v>
      </c>
      <c r="D179" s="934" t="s">
        <v>25</v>
      </c>
      <c r="E179" s="984" t="s">
        <v>1913</v>
      </c>
      <c r="F179" s="985"/>
      <c r="G179" s="984" t="e">
        <f>+VLOOKUP(Data_Validation!$A180,BV_Data_An_Cour!$M:$R,6,0)</f>
        <v>#N/A</v>
      </c>
      <c r="H179" s="159"/>
    </row>
    <row r="180" spans="1:8" ht="15" customHeight="1">
      <c r="A180" s="1102">
        <v>2101</v>
      </c>
      <c r="B180" s="163" t="s">
        <v>2837</v>
      </c>
      <c r="C180" s="934" t="s">
        <v>1638</v>
      </c>
      <c r="D180" s="934" t="s">
        <v>30</v>
      </c>
      <c r="E180" s="984" t="s">
        <v>1913</v>
      </c>
      <c r="F180" s="985"/>
      <c r="G180" s="984" t="e">
        <f>+VLOOKUP(Data_Validation!$A181,BV_Data_An_Cour!$M:$R,6,0)</f>
        <v>#N/A</v>
      </c>
      <c r="H180" s="159"/>
    </row>
    <row r="181" spans="1:8" ht="15" customHeight="1">
      <c r="A181" s="1102">
        <v>2103</v>
      </c>
      <c r="B181" s="163" t="s">
        <v>2029</v>
      </c>
      <c r="C181" s="934" t="s">
        <v>1638</v>
      </c>
      <c r="D181" s="934" t="s">
        <v>32</v>
      </c>
      <c r="E181" s="984" t="s">
        <v>1913</v>
      </c>
      <c r="F181" s="985"/>
      <c r="G181" s="984" t="e">
        <f>+VLOOKUP(Data_Validation!$A182,BV_Data_An_Cour!$M:$R,6,0)</f>
        <v>#N/A</v>
      </c>
      <c r="H181" s="159"/>
    </row>
    <row r="182" spans="1:8" ht="15" customHeight="1">
      <c r="A182" s="1102">
        <v>2131</v>
      </c>
      <c r="B182" s="163" t="s">
        <v>2408</v>
      </c>
      <c r="C182" s="934" t="s">
        <v>1638</v>
      </c>
      <c r="D182" s="934" t="s">
        <v>11</v>
      </c>
      <c r="E182" s="984" t="s">
        <v>1913</v>
      </c>
      <c r="F182" s="985"/>
      <c r="G182" s="984" t="e">
        <f>+VLOOKUP(Data_Validation!$A183,BV_Data_An_Cour!$M:$R,6,0)</f>
        <v>#N/A</v>
      </c>
      <c r="H182" s="159"/>
    </row>
    <row r="183" spans="1:8" ht="15" customHeight="1">
      <c r="A183" s="1108">
        <v>2220</v>
      </c>
      <c r="B183" s="163" t="s">
        <v>2196</v>
      </c>
      <c r="C183" s="934" t="s">
        <v>1638</v>
      </c>
      <c r="D183" s="934" t="s">
        <v>18</v>
      </c>
      <c r="E183" s="984" t="s">
        <v>1913</v>
      </c>
      <c r="F183" s="984"/>
      <c r="G183" s="984" t="e">
        <f>+VLOOKUP(Data_Validation!$A184,BV_Data_An_Cour!$M:$R,6,0)</f>
        <v>#N/A</v>
      </c>
      <c r="H183" s="159"/>
    </row>
    <row r="184" spans="1:8" ht="15" customHeight="1">
      <c r="A184" s="1108">
        <v>2221</v>
      </c>
      <c r="B184" s="163" t="s">
        <v>2049</v>
      </c>
      <c r="C184" s="934" t="s">
        <v>1638</v>
      </c>
      <c r="D184" s="934" t="s">
        <v>18</v>
      </c>
      <c r="E184" s="984" t="s">
        <v>1913</v>
      </c>
      <c r="F184" s="984"/>
      <c r="G184" s="984" t="e">
        <f>+VLOOKUP(Data_Validation!$A185,BV_Data_An_Cour!$M:$R,6,0)</f>
        <v>#N/A</v>
      </c>
      <c r="H184" s="159"/>
    </row>
    <row r="185" spans="1:8" ht="15" customHeight="1">
      <c r="A185" s="1108">
        <v>2222</v>
      </c>
      <c r="B185" s="163" t="s">
        <v>2787</v>
      </c>
      <c r="C185" s="934" t="s">
        <v>1638</v>
      </c>
      <c r="D185" s="934" t="s">
        <v>18</v>
      </c>
      <c r="E185" s="984" t="s">
        <v>1913</v>
      </c>
      <c r="F185" s="984"/>
      <c r="G185" s="984" t="e">
        <f>+VLOOKUP(Data_Validation!$A186,BV_Data_An_Cour!$M:$R,6,0)</f>
        <v>#N/A</v>
      </c>
      <c r="H185" s="159"/>
    </row>
    <row r="186" spans="1:8" ht="15" customHeight="1">
      <c r="A186" s="1108">
        <v>2223</v>
      </c>
      <c r="B186" s="163" t="s">
        <v>2804</v>
      </c>
      <c r="C186" s="934" t="s">
        <v>1638</v>
      </c>
      <c r="D186" s="934" t="s">
        <v>18</v>
      </c>
      <c r="E186" s="984" t="s">
        <v>1913</v>
      </c>
      <c r="F186" s="984"/>
      <c r="G186" s="984" t="e">
        <f>+VLOOKUP(Data_Validation!$A187,BV_Data_An_Cour!$M:$R,6,0)</f>
        <v>#N/A</v>
      </c>
      <c r="H186" s="159"/>
    </row>
    <row r="187" spans="1:8" ht="15" customHeight="1">
      <c r="A187" s="1108">
        <v>2224</v>
      </c>
      <c r="B187" s="163" t="s">
        <v>2057</v>
      </c>
      <c r="C187" s="934" t="s">
        <v>1638</v>
      </c>
      <c r="D187" s="934" t="s">
        <v>18</v>
      </c>
      <c r="E187" s="984" t="s">
        <v>1913</v>
      </c>
      <c r="F187" s="984"/>
      <c r="G187" s="984" t="e">
        <f>+VLOOKUP(Data_Validation!$A188,BV_Data_An_Cour!$M:$R,6,0)</f>
        <v>#N/A</v>
      </c>
      <c r="H187" s="159"/>
    </row>
    <row r="188" spans="1:8" ht="15" customHeight="1">
      <c r="A188" s="1108">
        <v>2225</v>
      </c>
      <c r="B188" s="163" t="s">
        <v>2607</v>
      </c>
      <c r="C188" s="934" t="s">
        <v>1638</v>
      </c>
      <c r="D188" s="934" t="s">
        <v>18</v>
      </c>
      <c r="E188" s="984" t="s">
        <v>1913</v>
      </c>
      <c r="F188" s="984"/>
      <c r="G188" s="984" t="e">
        <f>+VLOOKUP(Data_Validation!$A189,BV_Data_An_Cour!$M:$R,6,0)</f>
        <v>#N/A</v>
      </c>
      <c r="H188" s="159"/>
    </row>
    <row r="189" spans="1:8" ht="15" customHeight="1">
      <c r="A189" s="1108">
        <v>2281</v>
      </c>
      <c r="B189" s="163" t="s">
        <v>2809</v>
      </c>
      <c r="C189" s="934" t="s">
        <v>1638</v>
      </c>
      <c r="D189" s="934" t="s">
        <v>26</v>
      </c>
      <c r="E189" s="984" t="s">
        <v>1913</v>
      </c>
      <c r="F189" s="984"/>
      <c r="G189" s="984" t="e">
        <f>+VLOOKUP(Data_Validation!$A190,BV_Data_An_Cour!$M:$R,6,0)</f>
        <v>#N/A</v>
      </c>
      <c r="H189" s="159"/>
    </row>
    <row r="190" spans="1:8" ht="15" customHeight="1">
      <c r="A190" s="1108">
        <v>2283</v>
      </c>
      <c r="B190" s="163" t="s">
        <v>2166</v>
      </c>
      <c r="C190" s="934" t="s">
        <v>1638</v>
      </c>
      <c r="D190" s="934" t="s">
        <v>26</v>
      </c>
      <c r="E190" s="984" t="s">
        <v>1913</v>
      </c>
      <c r="F190" s="984"/>
      <c r="G190" s="984" t="e">
        <f>+VLOOKUP(Data_Validation!$A191,BV_Data_An_Cour!$M:$R,6,0)</f>
        <v>#N/A</v>
      </c>
      <c r="H190" s="159"/>
    </row>
    <row r="191" spans="1:8" ht="15" customHeight="1">
      <c r="A191" s="1102">
        <v>2285</v>
      </c>
      <c r="B191" s="163" t="s">
        <v>2763</v>
      </c>
      <c r="C191" s="934" t="s">
        <v>1638</v>
      </c>
      <c r="D191" s="934" t="s">
        <v>26</v>
      </c>
      <c r="E191" s="984" t="s">
        <v>1913</v>
      </c>
      <c r="F191" s="985"/>
      <c r="G191" s="984" t="e">
        <f>+VLOOKUP(Data_Validation!$A192,BV_Data_An_Cour!$M:$R,6,0)</f>
        <v>#N/A</v>
      </c>
      <c r="H191" s="159"/>
    </row>
    <row r="192" spans="1:8" ht="15" customHeight="1">
      <c r="A192" s="1102">
        <v>2287</v>
      </c>
      <c r="B192" s="163" t="s">
        <v>2737</v>
      </c>
      <c r="C192" s="934" t="s">
        <v>1638</v>
      </c>
      <c r="D192" s="934" t="s">
        <v>26</v>
      </c>
      <c r="E192" s="984" t="s">
        <v>1913</v>
      </c>
      <c r="F192" s="985"/>
      <c r="G192" s="984" t="e">
        <f>+VLOOKUP(Data_Validation!$A193,BV_Data_An_Cour!$M:$R,6,0)</f>
        <v>#N/A</v>
      </c>
      <c r="H192" s="159"/>
    </row>
    <row r="193" spans="1:8" ht="15" customHeight="1">
      <c r="A193" s="1102">
        <v>2291</v>
      </c>
      <c r="B193" s="163" t="s">
        <v>2002</v>
      </c>
      <c r="C193" s="934" t="s">
        <v>1638</v>
      </c>
      <c r="D193" s="934" t="s">
        <v>16</v>
      </c>
      <c r="E193" s="984" t="s">
        <v>1913</v>
      </c>
      <c r="F193" s="985"/>
      <c r="G193" s="984" t="e">
        <f>+VLOOKUP(Data_Validation!$A194,BV_Data_An_Cour!$M:$R,6,0)</f>
        <v>#N/A</v>
      </c>
      <c r="H193" s="159"/>
    </row>
    <row r="194" spans="1:8" s="564" customFormat="1" ht="15" customHeight="1">
      <c r="A194" s="1102">
        <v>2292</v>
      </c>
      <c r="B194" s="163" t="s">
        <v>2042</v>
      </c>
      <c r="C194" s="934" t="s">
        <v>1638</v>
      </c>
      <c r="D194" s="934" t="s">
        <v>26</v>
      </c>
      <c r="E194" s="984" t="s">
        <v>1913</v>
      </c>
      <c r="F194" s="985"/>
      <c r="G194" s="984" t="e">
        <f>+VLOOKUP(Data_Validation!$A195,BV_Data_An_Cour!$M:$R,6,0)</f>
        <v>#N/A</v>
      </c>
      <c r="H194" s="159"/>
    </row>
    <row r="195" spans="1:8" ht="15" customHeight="1">
      <c r="A195" s="1102">
        <v>2293</v>
      </c>
      <c r="B195" s="163" t="s">
        <v>2125</v>
      </c>
      <c r="C195" s="934" t="s">
        <v>1638</v>
      </c>
      <c r="D195" s="934" t="s">
        <v>40</v>
      </c>
      <c r="E195" s="984" t="s">
        <v>1913</v>
      </c>
      <c r="F195" s="985"/>
      <c r="G195" s="984" t="e">
        <f>+VLOOKUP(Data_Validation!$A196,BV_Data_An_Cour!$M:$R,6,0)</f>
        <v>#N/A</v>
      </c>
      <c r="H195" s="159"/>
    </row>
    <row r="196" spans="1:8" ht="15" customHeight="1">
      <c r="A196" s="1102">
        <v>2295</v>
      </c>
      <c r="B196" s="163" t="s">
        <v>2410</v>
      </c>
      <c r="C196" s="934" t="s">
        <v>1638</v>
      </c>
      <c r="D196" s="934" t="s">
        <v>40</v>
      </c>
      <c r="E196" s="984" t="s">
        <v>1913</v>
      </c>
      <c r="F196" s="985"/>
      <c r="G196" s="984" t="e">
        <f>+VLOOKUP(Data_Validation!$A197,BV_Data_An_Cour!$M:$R,6,0)</f>
        <v>#N/A</v>
      </c>
      <c r="H196" s="159"/>
    </row>
    <row r="197" spans="1:8" ht="15" customHeight="1">
      <c r="A197" s="162">
        <v>2296</v>
      </c>
      <c r="B197" s="163" t="s">
        <v>2929</v>
      </c>
      <c r="C197" s="934" t="s">
        <v>1638</v>
      </c>
      <c r="D197" s="934" t="s">
        <v>24</v>
      </c>
      <c r="E197" s="984" t="s">
        <v>1913</v>
      </c>
      <c r="F197" s="985"/>
      <c r="G197" s="984" t="s">
        <v>279</v>
      </c>
      <c r="H197" s="159"/>
    </row>
    <row r="198" spans="1:8" ht="15" customHeight="1">
      <c r="A198" s="1102">
        <v>2297</v>
      </c>
      <c r="B198" s="163" t="s">
        <v>2139</v>
      </c>
      <c r="C198" s="934" t="s">
        <v>1638</v>
      </c>
      <c r="D198" s="934" t="s">
        <v>40</v>
      </c>
      <c r="E198" s="984" t="s">
        <v>1913</v>
      </c>
      <c r="F198" s="985"/>
      <c r="G198" s="984" t="e">
        <f>+VLOOKUP(Data_Validation!$A199,BV_Data_An_Cour!$M:$R,6,0)</f>
        <v>#N/A</v>
      </c>
      <c r="H198" s="159"/>
    </row>
    <row r="199" spans="1:8" ht="15" customHeight="1">
      <c r="A199" s="1102">
        <v>2315</v>
      </c>
      <c r="B199" s="163" t="s">
        <v>2701</v>
      </c>
      <c r="C199" s="934" t="s">
        <v>1638</v>
      </c>
      <c r="D199" s="934" t="s">
        <v>38</v>
      </c>
      <c r="E199" s="984" t="s">
        <v>1913</v>
      </c>
      <c r="F199" s="985"/>
      <c r="G199" s="984" t="e">
        <f>+VLOOKUP(Data_Validation!$A200,BV_Data_An_Cour!$M:$R,6,0)</f>
        <v>#N/A</v>
      </c>
      <c r="H199" s="159"/>
    </row>
    <row r="200" spans="1:8" ht="15" customHeight="1">
      <c r="A200" s="1102">
        <v>2335</v>
      </c>
      <c r="B200" s="163" t="s">
        <v>2153</v>
      </c>
      <c r="C200" s="934" t="s">
        <v>1638</v>
      </c>
      <c r="D200" s="934" t="s">
        <v>38</v>
      </c>
      <c r="E200" s="984" t="s">
        <v>1913</v>
      </c>
      <c r="F200" s="985"/>
      <c r="G200" s="984" t="e">
        <f>+VLOOKUP(Data_Validation!$A201,BV_Data_An_Cour!$M:$R,6,0)</f>
        <v>#N/A</v>
      </c>
      <c r="H200" s="159"/>
    </row>
    <row r="201" spans="1:8" ht="15" customHeight="1">
      <c r="A201" s="1102">
        <v>2342</v>
      </c>
      <c r="B201" s="163" t="s">
        <v>2740</v>
      </c>
      <c r="C201" s="934" t="s">
        <v>1638</v>
      </c>
      <c r="D201" s="934" t="s">
        <v>38</v>
      </c>
      <c r="E201" s="984" t="s">
        <v>1913</v>
      </c>
      <c r="F201" s="985"/>
      <c r="G201" s="984" t="e">
        <f>+VLOOKUP(Data_Validation!$A202,BV_Data_An_Cour!$M:$R,6,0)</f>
        <v>#N/A</v>
      </c>
      <c r="H201" s="159"/>
    </row>
    <row r="202" spans="1:8" ht="15" customHeight="1">
      <c r="A202" s="1102">
        <v>2343</v>
      </c>
      <c r="B202" s="163" t="s">
        <v>2573</v>
      </c>
      <c r="C202" s="934" t="s">
        <v>1638</v>
      </c>
      <c r="D202" s="934" t="s">
        <v>38</v>
      </c>
      <c r="E202" s="984" t="s">
        <v>1913</v>
      </c>
      <c r="F202" s="985"/>
      <c r="G202" s="984" t="e">
        <f>+VLOOKUP(Data_Validation!$A203,BV_Data_An_Cour!$M:$R,6,0)</f>
        <v>#N/A</v>
      </c>
      <c r="H202" s="159"/>
    </row>
    <row r="203" spans="1:8" s="564" customFormat="1" ht="15" customHeight="1">
      <c r="A203" s="1102">
        <v>2344</v>
      </c>
      <c r="B203" s="163" t="s">
        <v>533</v>
      </c>
      <c r="C203" s="934" t="s">
        <v>1638</v>
      </c>
      <c r="D203" s="934" t="s">
        <v>38</v>
      </c>
      <c r="E203" s="984" t="s">
        <v>1913</v>
      </c>
      <c r="F203" s="985"/>
      <c r="G203" s="984" t="e">
        <f>+VLOOKUP(Data_Validation!$A204,BV_Data_An_Cour!$M:$R,6,0)</f>
        <v>#N/A</v>
      </c>
      <c r="H203" s="159"/>
    </row>
    <row r="204" spans="1:8" ht="15" customHeight="1">
      <c r="A204" s="1102">
        <v>2401</v>
      </c>
      <c r="B204" s="163" t="s">
        <v>2186</v>
      </c>
      <c r="C204" s="934" t="s">
        <v>1638</v>
      </c>
      <c r="D204" s="934" t="s">
        <v>22</v>
      </c>
      <c r="E204" s="984" t="s">
        <v>1913</v>
      </c>
      <c r="F204" s="985"/>
      <c r="G204" s="984" t="e">
        <f>+VLOOKUP(Data_Validation!$A205,BV_Data_An_Cour!$M:$R,6,0)</f>
        <v>#N/A</v>
      </c>
      <c r="H204" s="159"/>
    </row>
    <row r="205" spans="1:8" ht="15" customHeight="1">
      <c r="A205" s="1102">
        <v>2501</v>
      </c>
      <c r="B205" s="163" t="s">
        <v>2591</v>
      </c>
      <c r="C205" s="934" t="s">
        <v>1638</v>
      </c>
      <c r="D205" s="934" t="s">
        <v>36</v>
      </c>
      <c r="E205" s="984" t="s">
        <v>1913</v>
      </c>
      <c r="F205" s="985"/>
      <c r="G205" s="984" t="e">
        <f>+VLOOKUP(Data_Validation!$A206,BV_Data_An_Cour!$M:$R,6,0)</f>
        <v>#N/A</v>
      </c>
      <c r="H205" s="159"/>
    </row>
    <row r="206" spans="1:8" ht="15" customHeight="1">
      <c r="A206" s="1110">
        <v>2502</v>
      </c>
      <c r="B206" s="163" t="s">
        <v>2902</v>
      </c>
      <c r="C206" s="934" t="s">
        <v>1638</v>
      </c>
      <c r="D206" s="934" t="s">
        <v>36</v>
      </c>
      <c r="E206" s="984" t="s">
        <v>1913</v>
      </c>
      <c r="F206" s="985"/>
      <c r="G206" s="984" t="s">
        <v>279</v>
      </c>
      <c r="H206" s="159"/>
    </row>
    <row r="207" spans="1:8" ht="15" customHeight="1">
      <c r="A207" s="1102">
        <v>2503</v>
      </c>
      <c r="B207" s="163" t="s">
        <v>2051</v>
      </c>
      <c r="C207" s="934" t="s">
        <v>1638</v>
      </c>
      <c r="D207" s="934" t="s">
        <v>36</v>
      </c>
      <c r="E207" s="984" t="s">
        <v>1913</v>
      </c>
      <c r="F207" s="985"/>
      <c r="G207" s="984" t="e">
        <f>+VLOOKUP(Data_Validation!$A208,BV_Data_An_Cour!$M:$R,6,0)</f>
        <v>#N/A</v>
      </c>
      <c r="H207" s="159"/>
    </row>
    <row r="208" spans="1:8" ht="15" customHeight="1">
      <c r="A208" s="1102">
        <v>2505</v>
      </c>
      <c r="B208" s="163" t="s">
        <v>2091</v>
      </c>
      <c r="C208" s="934" t="s">
        <v>1638</v>
      </c>
      <c r="D208" s="934" t="s">
        <v>36</v>
      </c>
      <c r="E208" s="984" t="s">
        <v>1913</v>
      </c>
      <c r="F208" s="985"/>
      <c r="G208" s="984" t="e">
        <f>+VLOOKUP(Data_Validation!$A209,BV_Data_An_Cour!$M:$R,6,0)</f>
        <v>#N/A</v>
      </c>
      <c r="H208" s="159"/>
    </row>
    <row r="209" spans="1:8" s="564" customFormat="1" ht="15" customHeight="1">
      <c r="A209" s="1102">
        <v>2507</v>
      </c>
      <c r="B209" s="163" t="s">
        <v>2412</v>
      </c>
      <c r="C209" s="934" t="s">
        <v>1638</v>
      </c>
      <c r="D209" s="934" t="s">
        <v>36</v>
      </c>
      <c r="E209" s="984" t="s">
        <v>1913</v>
      </c>
      <c r="F209" s="985"/>
      <c r="G209" s="984" t="e">
        <f>+VLOOKUP(Data_Validation!$A210,BV_Data_An_Cour!$M:$R,6,0)</f>
        <v>#N/A</v>
      </c>
      <c r="H209" s="159"/>
    </row>
    <row r="210" spans="1:8" s="564" customFormat="1" ht="15" customHeight="1">
      <c r="A210" s="1102">
        <v>2509</v>
      </c>
      <c r="B210" s="163" t="s">
        <v>2087</v>
      </c>
      <c r="C210" s="934" t="s">
        <v>1638</v>
      </c>
      <c r="D210" s="934" t="s">
        <v>36</v>
      </c>
      <c r="E210" s="984" t="s">
        <v>1913</v>
      </c>
      <c r="F210" s="985"/>
      <c r="G210" s="984" t="e">
        <f>+VLOOKUP(Data_Validation!$A211,BV_Data_An_Cour!$M:$R,6,0)</f>
        <v>#N/A</v>
      </c>
      <c r="H210" s="159"/>
    </row>
    <row r="211" spans="1:8" ht="15" customHeight="1">
      <c r="A211" s="1102">
        <v>2511</v>
      </c>
      <c r="B211" s="163" t="s">
        <v>2181</v>
      </c>
      <c r="C211" s="934" t="s">
        <v>1638</v>
      </c>
      <c r="D211" s="934" t="s">
        <v>36</v>
      </c>
      <c r="E211" s="984" t="s">
        <v>1913</v>
      </c>
      <c r="F211" s="985"/>
      <c r="G211" s="984" t="e">
        <f>+VLOOKUP(Data_Validation!$A212,BV_Data_An_Cour!$M:$R,6,0)</f>
        <v>#N/A</v>
      </c>
      <c r="H211" s="159"/>
    </row>
    <row r="212" spans="1:8" ht="15" customHeight="1">
      <c r="A212" s="1102">
        <v>2561</v>
      </c>
      <c r="B212" s="163" t="s">
        <v>2947</v>
      </c>
      <c r="C212" s="934" t="s">
        <v>1638</v>
      </c>
      <c r="D212" s="934" t="s">
        <v>40</v>
      </c>
      <c r="E212" s="984" t="s">
        <v>1913</v>
      </c>
      <c r="F212" s="985"/>
      <c r="G212" s="984" t="e">
        <f>+VLOOKUP(Data_Validation!$A213,BV_Data_An_Cour!$M:$R,6,0)</f>
        <v>#N/A</v>
      </c>
      <c r="H212" s="159"/>
    </row>
    <row r="213" spans="1:8" ht="15" customHeight="1">
      <c r="A213" s="1102">
        <v>2562</v>
      </c>
      <c r="B213" s="163" t="s">
        <v>2951</v>
      </c>
      <c r="C213" s="934" t="s">
        <v>1638</v>
      </c>
      <c r="D213" s="934" t="s">
        <v>40</v>
      </c>
      <c r="E213" s="984" t="s">
        <v>1913</v>
      </c>
      <c r="F213" s="985"/>
      <c r="G213" s="984" t="e">
        <f>+VLOOKUP(Data_Validation!$A214,BV_Data_An_Cour!$M:$R,6,0)</f>
        <v>#N/A</v>
      </c>
    </row>
    <row r="214" spans="1:8" ht="15" customHeight="1">
      <c r="A214" s="1102">
        <v>2801</v>
      </c>
      <c r="B214" s="163" t="s">
        <v>2680</v>
      </c>
      <c r="C214" s="934" t="s">
        <v>1638</v>
      </c>
      <c r="D214" s="934" t="s">
        <v>54</v>
      </c>
      <c r="E214" s="984" t="s">
        <v>1913</v>
      </c>
      <c r="F214" s="985"/>
      <c r="G214" s="984" t="e">
        <f>+VLOOKUP(Data_Validation!$A215,BV_Data_An_Cour!$M:$R,6,0)</f>
        <v>#N/A</v>
      </c>
      <c r="H214" s="159"/>
    </row>
    <row r="215" spans="1:8" ht="15" customHeight="1">
      <c r="A215" s="1102">
        <v>2901</v>
      </c>
      <c r="B215" s="163" t="s">
        <v>824</v>
      </c>
      <c r="C215" s="934" t="s">
        <v>1638</v>
      </c>
      <c r="D215" s="934" t="s">
        <v>40</v>
      </c>
      <c r="E215" s="984" t="s">
        <v>1913</v>
      </c>
      <c r="F215" s="985"/>
      <c r="G215" s="984" t="e">
        <f>+VLOOKUP(Data_Validation!$A216,BV_Data_An_Cour!$M:$R,6,0)</f>
        <v>#N/A</v>
      </c>
      <c r="H215" s="159"/>
    </row>
    <row r="216" spans="1:8" ht="15" customHeight="1">
      <c r="A216" s="1102">
        <v>3001</v>
      </c>
      <c r="B216" s="163" t="s">
        <v>2414</v>
      </c>
      <c r="C216" s="934" t="s">
        <v>1638</v>
      </c>
      <c r="D216" s="934" t="s">
        <v>67</v>
      </c>
      <c r="E216" s="984" t="s">
        <v>1913</v>
      </c>
      <c r="F216" s="985"/>
      <c r="G216" s="984" t="e">
        <f>+VLOOKUP(Data_Validation!$A217,BV_Data_An_Cour!$M:$R,6,0)</f>
        <v>#N/A</v>
      </c>
      <c r="H216" s="159"/>
    </row>
    <row r="217" spans="1:8" ht="15" customHeight="1">
      <c r="A217" s="1102">
        <v>3003</v>
      </c>
      <c r="B217" s="163" t="s">
        <v>2416</v>
      </c>
      <c r="C217" s="934" t="s">
        <v>1638</v>
      </c>
      <c r="D217" s="934" t="s">
        <v>68</v>
      </c>
      <c r="E217" s="984" t="s">
        <v>1913</v>
      </c>
      <c r="F217" s="985"/>
      <c r="G217" s="984" t="e">
        <f>+VLOOKUP(Data_Validation!$A218,BV_Data_An_Cour!$M:$R,6,0)</f>
        <v>#N/A</v>
      </c>
      <c r="H217" s="159"/>
    </row>
    <row r="218" spans="1:8" s="564" customFormat="1" ht="15" customHeight="1">
      <c r="A218" s="1102">
        <v>3007</v>
      </c>
      <c r="B218" s="163" t="s">
        <v>2418</v>
      </c>
      <c r="C218" s="934" t="s">
        <v>1638</v>
      </c>
      <c r="D218" s="934" t="s">
        <v>67</v>
      </c>
      <c r="E218" s="984"/>
      <c r="F218" s="985"/>
      <c r="G218" s="984" t="e">
        <f>+VLOOKUP(Data_Validation!$A219,BV_Data_An_Cour!$M:$R,6,0)</f>
        <v>#N/A</v>
      </c>
      <c r="H218" s="159"/>
    </row>
    <row r="219" spans="1:8" ht="15" customHeight="1">
      <c r="A219" s="1102">
        <v>3201</v>
      </c>
      <c r="B219" s="163" t="s">
        <v>2420</v>
      </c>
      <c r="C219" s="934" t="s">
        <v>1638</v>
      </c>
      <c r="D219" s="934" t="s">
        <v>69</v>
      </c>
      <c r="E219" s="984" t="s">
        <v>1913</v>
      </c>
      <c r="F219" s="985"/>
      <c r="G219" s="984" t="e">
        <f>+VLOOKUP(Data_Validation!$A220,BV_Data_An_Cour!$M:$R,6,0)</f>
        <v>#N/A</v>
      </c>
      <c r="H219" s="159"/>
    </row>
    <row r="220" spans="1:8" ht="15" customHeight="1">
      <c r="A220" s="1102">
        <v>4100</v>
      </c>
      <c r="B220" s="163" t="s">
        <v>2018</v>
      </c>
      <c r="C220" s="934" t="s">
        <v>75</v>
      </c>
      <c r="D220" s="934" t="s">
        <v>96</v>
      </c>
      <c r="E220" s="984" t="s">
        <v>1913</v>
      </c>
      <c r="F220" s="985" t="s">
        <v>1916</v>
      </c>
      <c r="G220" s="984" t="e">
        <f>+VLOOKUP(Data_Validation!$A221,BV_Data_An_Cour!$M:$R,6,0)</f>
        <v>#N/A</v>
      </c>
      <c r="H220" s="159"/>
    </row>
    <row r="221" spans="1:8" ht="15" customHeight="1">
      <c r="A221" s="1102">
        <v>4101</v>
      </c>
      <c r="B221" s="163" t="s">
        <v>2422</v>
      </c>
      <c r="C221" s="934" t="s">
        <v>75</v>
      </c>
      <c r="D221" s="934" t="s">
        <v>89</v>
      </c>
      <c r="E221" s="984" t="s">
        <v>1913</v>
      </c>
      <c r="F221" s="985" t="s">
        <v>1916</v>
      </c>
      <c r="G221" s="984" t="e">
        <f>+VLOOKUP(Data_Validation!$A223,BV_Data_An_Cour!$M:$R,6,0)</f>
        <v>#N/A</v>
      </c>
      <c r="H221" s="159"/>
    </row>
    <row r="222" spans="1:8" ht="15" customHeight="1">
      <c r="A222" s="1102">
        <v>4105</v>
      </c>
      <c r="B222" s="163" t="s">
        <v>2424</v>
      </c>
      <c r="C222" s="934" t="s">
        <v>75</v>
      </c>
      <c r="D222" s="934" t="s">
        <v>89</v>
      </c>
      <c r="E222" s="984" t="s">
        <v>1913</v>
      </c>
      <c r="F222" s="985" t="s">
        <v>1916</v>
      </c>
      <c r="G222" s="984" t="e">
        <f>+VLOOKUP(Data_Validation!$A224,BV_Data_An_Cour!$M:$R,6,0)</f>
        <v>#N/A</v>
      </c>
      <c r="H222" s="159"/>
    </row>
    <row r="223" spans="1:8" ht="15" customHeight="1">
      <c r="A223" s="1102">
        <v>4107</v>
      </c>
      <c r="B223" s="163" t="s">
        <v>2011</v>
      </c>
      <c r="C223" s="934" t="s">
        <v>75</v>
      </c>
      <c r="D223" s="934" t="s">
        <v>89</v>
      </c>
      <c r="E223" s="984" t="s">
        <v>1913</v>
      </c>
      <c r="F223" s="985" t="s">
        <v>1916</v>
      </c>
      <c r="G223" s="984" t="e">
        <f>+VLOOKUP(Data_Validation!$A225,BV_Data_An_Cour!$M:$R,6,0)</f>
        <v>#N/A</v>
      </c>
      <c r="H223" s="159"/>
    </row>
    <row r="224" spans="1:8" ht="15" customHeight="1">
      <c r="A224" s="1102">
        <v>4109</v>
      </c>
      <c r="B224" s="163" t="s">
        <v>2426</v>
      </c>
      <c r="C224" s="934" t="s">
        <v>75</v>
      </c>
      <c r="D224" s="934" t="s">
        <v>89</v>
      </c>
      <c r="E224" s="984" t="s">
        <v>1913</v>
      </c>
      <c r="F224" s="985" t="s">
        <v>1916</v>
      </c>
      <c r="G224" s="984" t="e">
        <f>+VLOOKUP(Data_Validation!$A226,BV_Data_An_Cour!$M:$R,6,0)</f>
        <v>#N/A</v>
      </c>
      <c r="H224" s="159"/>
    </row>
    <row r="225" spans="1:8" ht="15" customHeight="1">
      <c r="A225" s="1102">
        <v>4111</v>
      </c>
      <c r="B225" s="163" t="s">
        <v>2006</v>
      </c>
      <c r="C225" s="934" t="s">
        <v>75</v>
      </c>
      <c r="D225" s="934" t="s">
        <v>89</v>
      </c>
      <c r="E225" s="984" t="s">
        <v>1913</v>
      </c>
      <c r="F225" s="985" t="s">
        <v>1916</v>
      </c>
      <c r="G225" s="984" t="e">
        <f>+VLOOKUP(Data_Validation!$A227,BV_Data_An_Cour!$M:$R,6,0)</f>
        <v>#N/A</v>
      </c>
      <c r="H225" s="159"/>
    </row>
    <row r="226" spans="1:8" s="564" customFormat="1" ht="15" customHeight="1">
      <c r="A226" s="1102">
        <v>4113</v>
      </c>
      <c r="B226" s="163" t="s">
        <v>2428</v>
      </c>
      <c r="C226" s="934" t="s">
        <v>75</v>
      </c>
      <c r="D226" s="934" t="s">
        <v>89</v>
      </c>
      <c r="E226" s="984" t="s">
        <v>1913</v>
      </c>
      <c r="F226" s="985" t="s">
        <v>1916</v>
      </c>
      <c r="G226" s="984" t="e">
        <f>+VLOOKUP(Data_Validation!$A228,BV_Data_An_Cour!$M:$R,6,0)</f>
        <v>#N/A</v>
      </c>
      <c r="H226" s="159"/>
    </row>
    <row r="227" spans="1:8" ht="15" customHeight="1">
      <c r="A227" s="1102">
        <v>4115</v>
      </c>
      <c r="B227" s="163" t="s">
        <v>2430</v>
      </c>
      <c r="C227" s="934" t="s">
        <v>75</v>
      </c>
      <c r="D227" s="934" t="s">
        <v>89</v>
      </c>
      <c r="E227" s="984" t="s">
        <v>1913</v>
      </c>
      <c r="F227" s="985" t="s">
        <v>1916</v>
      </c>
      <c r="G227" s="984" t="e">
        <f>+VLOOKUP(Data_Validation!$A229,BV_Data_An_Cour!$M:$R,6,0)</f>
        <v>#N/A</v>
      </c>
      <c r="H227" s="159"/>
    </row>
    <row r="228" spans="1:8" ht="15" customHeight="1">
      <c r="A228" s="1108">
        <v>4118</v>
      </c>
      <c r="B228" s="163" t="s">
        <v>2898</v>
      </c>
      <c r="C228" s="934" t="s">
        <v>75</v>
      </c>
      <c r="D228" s="934" t="s">
        <v>90</v>
      </c>
      <c r="E228" s="984" t="s">
        <v>1913</v>
      </c>
      <c r="F228" s="985" t="s">
        <v>1916</v>
      </c>
      <c r="G228" s="984" t="e">
        <f>+VLOOKUP(Data_Validation!$A230,BV_Data_An_Cour!$M:$R,6,0)</f>
        <v>#N/A</v>
      </c>
      <c r="H228" s="159"/>
    </row>
    <row r="229" spans="1:8" ht="15" customHeight="1">
      <c r="A229" s="1108">
        <v>4119</v>
      </c>
      <c r="B229" s="163" t="s">
        <v>1995</v>
      </c>
      <c r="C229" s="934" t="s">
        <v>75</v>
      </c>
      <c r="D229" s="934" t="s">
        <v>90</v>
      </c>
      <c r="E229" s="984" t="s">
        <v>1913</v>
      </c>
      <c r="F229" s="985" t="s">
        <v>1916</v>
      </c>
      <c r="G229" s="984" t="e">
        <f>+VLOOKUP(Data_Validation!$A231,BV_Data_An_Cour!$M:$R,6,0)</f>
        <v>#N/A</v>
      </c>
      <c r="H229" s="159"/>
    </row>
    <row r="230" spans="1:8" ht="15" customHeight="1">
      <c r="A230" s="929">
        <v>4121</v>
      </c>
      <c r="B230" s="165" t="s">
        <v>2882</v>
      </c>
      <c r="C230" s="934" t="s">
        <v>75</v>
      </c>
      <c r="D230" s="934" t="s">
        <v>90</v>
      </c>
      <c r="E230" s="984" t="s">
        <v>1913</v>
      </c>
      <c r="F230" s="985" t="s">
        <v>2849</v>
      </c>
      <c r="G230" s="984" t="e">
        <f>+VLOOKUP(Data_Validation!$A557,BV_Data_An_Cour!$M:$R,6,0)</f>
        <v>#N/A</v>
      </c>
    </row>
    <row r="231" spans="1:8" ht="15" customHeight="1">
      <c r="A231" s="1102">
        <v>4127</v>
      </c>
      <c r="B231" s="163" t="s">
        <v>2023</v>
      </c>
      <c r="C231" s="934" t="s">
        <v>75</v>
      </c>
      <c r="D231" s="934" t="s">
        <v>89</v>
      </c>
      <c r="E231" s="984" t="s">
        <v>1913</v>
      </c>
      <c r="F231" s="985" t="s">
        <v>1916</v>
      </c>
      <c r="G231" s="984" t="e">
        <f>+VLOOKUP(Data_Validation!$A232,BV_Data_An_Cour!$M:$R,6,0)</f>
        <v>#N/A</v>
      </c>
      <c r="H231" s="159"/>
    </row>
    <row r="232" spans="1:8" ht="15" customHeight="1">
      <c r="A232" s="1102">
        <v>4131</v>
      </c>
      <c r="B232" s="163" t="s">
        <v>1991</v>
      </c>
      <c r="C232" s="934" t="s">
        <v>75</v>
      </c>
      <c r="D232" s="934" t="s">
        <v>90</v>
      </c>
      <c r="E232" s="984" t="s">
        <v>1913</v>
      </c>
      <c r="F232" s="985" t="s">
        <v>1916</v>
      </c>
      <c r="G232" s="984" t="e">
        <f>+VLOOKUP(Data_Validation!$A233,BV_Data_An_Cour!$M:$R,6,0)</f>
        <v>#N/A</v>
      </c>
      <c r="H232" s="159"/>
    </row>
    <row r="233" spans="1:8" ht="15" customHeight="1">
      <c r="A233" s="1102">
        <v>4135</v>
      </c>
      <c r="B233" s="163" t="s">
        <v>2021</v>
      </c>
      <c r="C233" s="934" t="s">
        <v>75</v>
      </c>
      <c r="D233" s="934" t="s">
        <v>89</v>
      </c>
      <c r="E233" s="984" t="s">
        <v>1913</v>
      </c>
      <c r="F233" s="985" t="s">
        <v>1916</v>
      </c>
      <c r="G233" s="984" t="e">
        <f>+VLOOKUP(Data_Validation!$A234,BV_Data_An_Cour!$M:$R,6,0)</f>
        <v>#N/A</v>
      </c>
      <c r="H233" s="159"/>
    </row>
    <row r="234" spans="1:8" ht="15" customHeight="1">
      <c r="A234" s="1102">
        <v>4137</v>
      </c>
      <c r="B234" s="163" t="s">
        <v>2432</v>
      </c>
      <c r="C234" s="934" t="s">
        <v>75</v>
      </c>
      <c r="D234" s="934" t="s">
        <v>95</v>
      </c>
      <c r="E234" s="984" t="s">
        <v>1913</v>
      </c>
      <c r="F234" s="985" t="s">
        <v>1916</v>
      </c>
      <c r="G234" s="984" t="e">
        <f>+VLOOKUP(Data_Validation!$A235,BV_Data_An_Cour!$M:$R,6,0)</f>
        <v>#N/A</v>
      </c>
      <c r="H234" s="159"/>
    </row>
    <row r="235" spans="1:8" ht="15" customHeight="1">
      <c r="A235" s="1102">
        <v>4139</v>
      </c>
      <c r="B235" s="163" t="s">
        <v>1997</v>
      </c>
      <c r="C235" s="934" t="s">
        <v>75</v>
      </c>
      <c r="D235" s="934" t="s">
        <v>94</v>
      </c>
      <c r="E235" s="984" t="s">
        <v>1913</v>
      </c>
      <c r="F235" s="985" t="s">
        <v>1916</v>
      </c>
      <c r="G235" s="984" t="e">
        <f>+VLOOKUP(Data_Validation!$A236,BV_Data_An_Cour!$M:$R,6,0)</f>
        <v>#N/A</v>
      </c>
      <c r="H235" s="159"/>
    </row>
    <row r="236" spans="1:8" ht="15" customHeight="1">
      <c r="A236" s="1102">
        <v>4144</v>
      </c>
      <c r="B236" s="163" t="s">
        <v>3348</v>
      </c>
      <c r="C236" s="934" t="s">
        <v>75</v>
      </c>
      <c r="D236" s="934" t="s">
        <v>89</v>
      </c>
      <c r="E236" s="984" t="s">
        <v>1913</v>
      </c>
      <c r="F236" s="985" t="s">
        <v>1916</v>
      </c>
      <c r="G236" s="984" t="e">
        <f>+VLOOKUP(Data_Validation!$A237,BV_Data_An_Cour!$M:$R,6,0)</f>
        <v>#N/A</v>
      </c>
      <c r="H236" s="159"/>
    </row>
    <row r="237" spans="1:8" ht="15" customHeight="1">
      <c r="A237" s="1110">
        <v>4200</v>
      </c>
      <c r="B237" s="163" t="s">
        <v>2892</v>
      </c>
      <c r="C237" s="934" t="s">
        <v>75</v>
      </c>
      <c r="D237" s="934" t="s">
        <v>96</v>
      </c>
      <c r="E237" s="984" t="s">
        <v>1913</v>
      </c>
      <c r="F237" s="985" t="s">
        <v>1916</v>
      </c>
      <c r="G237" s="984" t="s">
        <v>282</v>
      </c>
      <c r="H237" s="159"/>
    </row>
    <row r="238" spans="1:8" ht="15" customHeight="1">
      <c r="A238" s="1102">
        <v>4201</v>
      </c>
      <c r="B238" s="163" t="s">
        <v>1993</v>
      </c>
      <c r="C238" s="934" t="s">
        <v>144</v>
      </c>
      <c r="D238" s="934" t="s">
        <v>146</v>
      </c>
      <c r="E238" s="984" t="s">
        <v>1913</v>
      </c>
      <c r="F238" s="985" t="s">
        <v>1916</v>
      </c>
      <c r="G238" s="984" t="e">
        <f>+VLOOKUP(Data_Validation!$A238,BV_Data_An_Cour!$M:$R,6,0)</f>
        <v>#N/A</v>
      </c>
      <c r="H238" s="159"/>
    </row>
    <row r="239" spans="1:8" ht="15" customHeight="1">
      <c r="A239" s="1102">
        <v>4211</v>
      </c>
      <c r="B239" s="163" t="s">
        <v>2434</v>
      </c>
      <c r="C239" s="934" t="s">
        <v>144</v>
      </c>
      <c r="D239" s="934" t="s">
        <v>147</v>
      </c>
      <c r="E239" s="984" t="s">
        <v>1913</v>
      </c>
      <c r="F239" s="985" t="s">
        <v>1916</v>
      </c>
      <c r="G239" s="984" t="e">
        <f>+VLOOKUP(Data_Validation!$A239,BV_Data_An_Cour!$M:$R,6,0)</f>
        <v>#N/A</v>
      </c>
      <c r="H239" s="159"/>
    </row>
    <row r="240" spans="1:8" ht="15" customHeight="1">
      <c r="A240" s="1102">
        <v>4285</v>
      </c>
      <c r="B240" s="163" t="s">
        <v>2031</v>
      </c>
      <c r="C240" s="934" t="s">
        <v>144</v>
      </c>
      <c r="D240" s="934" t="s">
        <v>147</v>
      </c>
      <c r="E240" s="984" t="s">
        <v>1913</v>
      </c>
      <c r="F240" s="985" t="s">
        <v>1916</v>
      </c>
      <c r="G240" s="984" t="e">
        <f>+VLOOKUP(Data_Validation!$A240,BV_Data_An_Cour!$M:$R,6,0)</f>
        <v>#N/A</v>
      </c>
      <c r="H240" s="159"/>
    </row>
    <row r="241" spans="1:8" ht="15" customHeight="1">
      <c r="A241" s="1102">
        <v>4291</v>
      </c>
      <c r="B241" s="163" t="s">
        <v>1999</v>
      </c>
      <c r="C241" s="934" t="s">
        <v>144</v>
      </c>
      <c r="D241" s="934" t="s">
        <v>150</v>
      </c>
      <c r="E241" s="984" t="s">
        <v>1913</v>
      </c>
      <c r="F241" s="985" t="s">
        <v>1916</v>
      </c>
      <c r="G241" s="984" t="e">
        <f>+VLOOKUP(Data_Validation!$A241,BV_Data_An_Cour!$M:$R,6,0)</f>
        <v>#N/A</v>
      </c>
      <c r="H241" s="159"/>
    </row>
    <row r="242" spans="1:8" ht="15" customHeight="1">
      <c r="A242" s="1102">
        <v>4401</v>
      </c>
      <c r="B242" s="163" t="s">
        <v>2004</v>
      </c>
      <c r="C242" s="934" t="s">
        <v>155</v>
      </c>
      <c r="D242" s="934" t="s">
        <v>159</v>
      </c>
      <c r="E242" s="984" t="s">
        <v>1913</v>
      </c>
      <c r="F242" s="985" t="s">
        <v>1916</v>
      </c>
      <c r="G242" s="984" t="e">
        <f>+VLOOKUP(Data_Validation!$A242,BV_Data_An_Cour!$M:$R,6,0)</f>
        <v>#N/A</v>
      </c>
      <c r="H242" s="159"/>
    </row>
    <row r="243" spans="1:8" ht="15" customHeight="1">
      <c r="A243" s="1102">
        <v>4402</v>
      </c>
      <c r="B243" s="163" t="s">
        <v>2184</v>
      </c>
      <c r="C243" s="934" t="s">
        <v>155</v>
      </c>
      <c r="D243" s="934" t="s">
        <v>163</v>
      </c>
      <c r="E243" s="984" t="s">
        <v>1913</v>
      </c>
      <c r="F243" s="985" t="s">
        <v>1916</v>
      </c>
      <c r="G243" s="984" t="e">
        <f>+VLOOKUP(Data_Validation!$A243,BV_Data_An_Cour!$M:$R,6,0)</f>
        <v>#N/A</v>
      </c>
      <c r="H243" s="159"/>
    </row>
    <row r="244" spans="1:8" ht="15" customHeight="1">
      <c r="A244" s="1102">
        <v>4403</v>
      </c>
      <c r="B244" s="163" t="s">
        <v>2034</v>
      </c>
      <c r="C244" s="934" t="s">
        <v>155</v>
      </c>
      <c r="D244" s="934" t="s">
        <v>161</v>
      </c>
      <c r="E244" s="984" t="s">
        <v>1913</v>
      </c>
      <c r="F244" s="985" t="s">
        <v>1916</v>
      </c>
      <c r="G244" s="984" t="e">
        <f>+VLOOKUP(Data_Validation!$A244,BV_Data_An_Cour!$M:$R,6,0)</f>
        <v>#N/A</v>
      </c>
      <c r="H244" s="159"/>
    </row>
    <row r="245" spans="1:8" ht="15" customHeight="1">
      <c r="A245" s="1108">
        <v>4405</v>
      </c>
      <c r="B245" s="163" t="s">
        <v>2044</v>
      </c>
      <c r="C245" s="934" t="s">
        <v>155</v>
      </c>
      <c r="D245" s="934" t="s">
        <v>162</v>
      </c>
      <c r="E245" s="984" t="s">
        <v>1913</v>
      </c>
      <c r="F245" s="985" t="s">
        <v>1916</v>
      </c>
      <c r="G245" s="984" t="e">
        <f>+VLOOKUP(Data_Validation!$A245,BV_Data_An_Cour!$M:$R,6,0)</f>
        <v>#N/A</v>
      </c>
      <c r="H245" s="159"/>
    </row>
    <row r="246" spans="1:8" ht="15" customHeight="1">
      <c r="A246" s="1108">
        <v>4411</v>
      </c>
      <c r="B246" s="160" t="s">
        <v>2619</v>
      </c>
      <c r="C246" s="934" t="s">
        <v>155</v>
      </c>
      <c r="D246" s="934" t="s">
        <v>159</v>
      </c>
      <c r="E246" s="984" t="s">
        <v>1913</v>
      </c>
      <c r="F246" s="985" t="s">
        <v>1916</v>
      </c>
      <c r="G246" s="984" t="e">
        <f>+VLOOKUP(Data_Validation!$A246,BV_Data_An_Cour!$M:$R,6,0)</f>
        <v>#N/A</v>
      </c>
      <c r="H246" s="159"/>
    </row>
    <row r="247" spans="1:8" s="564" customFormat="1" ht="15" customHeight="1">
      <c r="A247" s="1102">
        <v>4451</v>
      </c>
      <c r="B247" s="163" t="s">
        <v>2064</v>
      </c>
      <c r="C247" s="934" t="s">
        <v>175</v>
      </c>
      <c r="D247" s="934" t="s">
        <v>187</v>
      </c>
      <c r="E247" s="984" t="s">
        <v>1913</v>
      </c>
      <c r="F247" s="985" t="s">
        <v>1916</v>
      </c>
      <c r="G247" s="984" t="e">
        <f>+VLOOKUP(Data_Validation!$A247,BV_Data_An_Cour!$M:$R,6,0)</f>
        <v>#N/A</v>
      </c>
      <c r="H247" s="159"/>
    </row>
    <row r="248" spans="1:8" ht="15" customHeight="1">
      <c r="A248" s="1102">
        <v>4491</v>
      </c>
      <c r="B248" s="163" t="s">
        <v>2137</v>
      </c>
      <c r="C248" s="934" t="s">
        <v>155</v>
      </c>
      <c r="D248" s="934" t="s">
        <v>167</v>
      </c>
      <c r="E248" s="984" t="s">
        <v>1913</v>
      </c>
      <c r="F248" s="985" t="s">
        <v>1916</v>
      </c>
      <c r="G248" s="984" t="e">
        <f>+VLOOKUP(Data_Validation!$A248,BV_Data_An_Cour!$M:$R,6,0)</f>
        <v>#N/A</v>
      </c>
      <c r="H248" s="159"/>
    </row>
    <row r="249" spans="1:8" ht="15" customHeight="1">
      <c r="A249" s="1102">
        <v>4493</v>
      </c>
      <c r="B249" s="163" t="s">
        <v>2160</v>
      </c>
      <c r="C249" s="934" t="s">
        <v>155</v>
      </c>
      <c r="D249" s="934" t="s">
        <v>167</v>
      </c>
      <c r="E249" s="984" t="s">
        <v>1913</v>
      </c>
      <c r="F249" s="985" t="s">
        <v>1916</v>
      </c>
      <c r="G249" s="984" t="e">
        <f>+VLOOKUP(Data_Validation!$A249,BV_Data_An_Cour!$M:$R,6,0)</f>
        <v>#N/A</v>
      </c>
      <c r="H249" s="159"/>
    </row>
    <row r="250" spans="1:8" ht="15" customHeight="1">
      <c r="A250" s="1102">
        <v>4495</v>
      </c>
      <c r="B250" s="163" t="s">
        <v>2079</v>
      </c>
      <c r="C250" s="934" t="s">
        <v>155</v>
      </c>
      <c r="D250" s="934" t="s">
        <v>167</v>
      </c>
      <c r="E250" s="984" t="s">
        <v>1913</v>
      </c>
      <c r="F250" s="985" t="s">
        <v>1916</v>
      </c>
      <c r="G250" s="984" t="e">
        <f>+VLOOKUP(Data_Validation!$A250,BV_Data_An_Cour!$M:$R,6,0)</f>
        <v>#N/A</v>
      </c>
      <c r="H250" s="159"/>
    </row>
    <row r="251" spans="1:8" ht="15" customHeight="1">
      <c r="A251" s="1102">
        <v>4503</v>
      </c>
      <c r="B251" s="163" t="s">
        <v>3249</v>
      </c>
      <c r="C251" s="934" t="s">
        <v>171</v>
      </c>
      <c r="D251" s="934" t="s">
        <v>172</v>
      </c>
      <c r="E251" s="984" t="s">
        <v>1913</v>
      </c>
      <c r="F251" s="985" t="s">
        <v>1916</v>
      </c>
      <c r="G251" s="984" t="e">
        <f>+VLOOKUP(Data_Validation!$A252,BV_Data_An_Cour!$M:$R,6,0)</f>
        <v>#N/A</v>
      </c>
      <c r="H251" s="159"/>
    </row>
    <row r="252" spans="1:8" ht="15" customHeight="1">
      <c r="A252" s="1102">
        <v>4591</v>
      </c>
      <c r="B252" s="163" t="s">
        <v>2062</v>
      </c>
      <c r="C252" s="934" t="s">
        <v>171</v>
      </c>
      <c r="D252" s="934" t="s">
        <v>172</v>
      </c>
      <c r="E252" s="984" t="s">
        <v>1913</v>
      </c>
      <c r="F252" s="985" t="s">
        <v>1916</v>
      </c>
      <c r="G252" s="984" t="e">
        <f>+VLOOKUP(Data_Validation!$A251,BV_Data_An_Cour!$M:$R,6,0)</f>
        <v>#N/A</v>
      </c>
      <c r="H252" s="159"/>
    </row>
    <row r="253" spans="1:8" ht="15" customHeight="1">
      <c r="A253" s="1102">
        <v>4593</v>
      </c>
      <c r="B253" s="163" t="s">
        <v>2060</v>
      </c>
      <c r="C253" s="934" t="s">
        <v>171</v>
      </c>
      <c r="D253" s="934" t="s">
        <v>172</v>
      </c>
      <c r="E253" s="984" t="s">
        <v>1913</v>
      </c>
      <c r="F253" s="985" t="s">
        <v>1916</v>
      </c>
      <c r="G253" s="984" t="e">
        <f>+VLOOKUP(Data_Validation!$A253,BV_Data_An_Cour!$M:$R,6,0)</f>
        <v>#N/A</v>
      </c>
      <c r="H253" s="159"/>
    </row>
    <row r="254" spans="1:8" ht="15" customHeight="1">
      <c r="A254" s="1102">
        <v>4595</v>
      </c>
      <c r="B254" s="163" t="s">
        <v>2093</v>
      </c>
      <c r="C254" s="934" t="s">
        <v>171</v>
      </c>
      <c r="D254" s="934" t="s">
        <v>172</v>
      </c>
      <c r="E254" s="984" t="s">
        <v>1913</v>
      </c>
      <c r="F254" s="985" t="s">
        <v>1916</v>
      </c>
      <c r="G254" s="984" t="e">
        <f>+VLOOKUP(Data_Validation!$A254,BV_Data_An_Cour!$M:$R,6,0)</f>
        <v>#N/A</v>
      </c>
      <c r="H254" s="159"/>
    </row>
    <row r="255" spans="1:8" ht="15" customHeight="1">
      <c r="A255" s="1102">
        <v>4701</v>
      </c>
      <c r="B255" s="163" t="s">
        <v>2016</v>
      </c>
      <c r="C255" s="934" t="s">
        <v>175</v>
      </c>
      <c r="D255" s="934" t="s">
        <v>177</v>
      </c>
      <c r="E255" s="984" t="s">
        <v>1913</v>
      </c>
      <c r="F255" s="985" t="s">
        <v>1916</v>
      </c>
      <c r="G255" s="984" t="e">
        <f>+VLOOKUP(Data_Validation!$A255,BV_Data_An_Cour!$M:$R,6,0)</f>
        <v>#N/A</v>
      </c>
      <c r="H255" s="159"/>
    </row>
    <row r="256" spans="1:8" s="564" customFormat="1" ht="15" customHeight="1">
      <c r="A256" s="1102">
        <v>4702</v>
      </c>
      <c r="B256" s="163" t="s">
        <v>2143</v>
      </c>
      <c r="C256" s="934" t="s">
        <v>155</v>
      </c>
      <c r="D256" s="934" t="s">
        <v>159</v>
      </c>
      <c r="E256" s="984" t="s">
        <v>1913</v>
      </c>
      <c r="F256" s="985" t="s">
        <v>1916</v>
      </c>
      <c r="G256" s="984" t="e">
        <f>+VLOOKUP(Data_Validation!$A256,BV_Data_An_Cour!$M:$R,6,0)</f>
        <v>#N/A</v>
      </c>
      <c r="H256" s="159"/>
    </row>
    <row r="257" spans="1:8" ht="15" customHeight="1">
      <c r="A257" s="1102">
        <v>4703</v>
      </c>
      <c r="B257" s="163" t="s">
        <v>2036</v>
      </c>
      <c r="C257" s="934" t="s">
        <v>175</v>
      </c>
      <c r="D257" s="934" t="s">
        <v>179</v>
      </c>
      <c r="E257" s="984" t="s">
        <v>1913</v>
      </c>
      <c r="F257" s="985" t="s">
        <v>1916</v>
      </c>
      <c r="G257" s="984" t="e">
        <f>+VLOOKUP(Data_Validation!$A257,BV_Data_An_Cour!$M:$R,6,0)</f>
        <v>#N/A</v>
      </c>
      <c r="H257" s="159"/>
    </row>
    <row r="258" spans="1:8" ht="15" customHeight="1">
      <c r="A258" s="1102">
        <v>4705</v>
      </c>
      <c r="B258" s="163" t="s">
        <v>2040</v>
      </c>
      <c r="C258" s="934" t="s">
        <v>175</v>
      </c>
      <c r="D258" s="934" t="s">
        <v>180</v>
      </c>
      <c r="E258" s="984" t="s">
        <v>1913</v>
      </c>
      <c r="F258" s="985" t="s">
        <v>1916</v>
      </c>
      <c r="G258" s="984" t="e">
        <f>+VLOOKUP(Data_Validation!$A258,BV_Data_An_Cour!$M:$R,6,0)</f>
        <v>#N/A</v>
      </c>
      <c r="H258" s="159"/>
    </row>
    <row r="259" spans="1:8" ht="15" customHeight="1">
      <c r="A259" s="1102">
        <v>4706</v>
      </c>
      <c r="B259" s="163" t="s">
        <v>2143</v>
      </c>
      <c r="C259" s="934" t="s">
        <v>155</v>
      </c>
      <c r="D259" s="934" t="s">
        <v>162</v>
      </c>
      <c r="E259" s="984" t="s">
        <v>1913</v>
      </c>
      <c r="F259" s="985" t="s">
        <v>1916</v>
      </c>
      <c r="G259" s="984" t="e">
        <f>+VLOOKUP(Data_Validation!$A259,BV_Data_An_Cour!$M:$R,6,0)</f>
        <v>#N/A</v>
      </c>
      <c r="H259" s="159"/>
    </row>
    <row r="260" spans="1:8" ht="15" customHeight="1">
      <c r="A260" s="1102">
        <v>4711</v>
      </c>
      <c r="B260" s="163" t="s">
        <v>2107</v>
      </c>
      <c r="C260" s="934" t="s">
        <v>175</v>
      </c>
      <c r="D260" s="934" t="s">
        <v>177</v>
      </c>
      <c r="E260" s="984" t="s">
        <v>1913</v>
      </c>
      <c r="F260" s="985" t="s">
        <v>1916</v>
      </c>
      <c r="G260" s="984" t="e">
        <f>+VLOOKUP(Data_Validation!$A260,BV_Data_An_Cour!$M:$R,6,0)</f>
        <v>#N/A</v>
      </c>
      <c r="H260" s="159"/>
    </row>
    <row r="261" spans="1:8" ht="15" customHeight="1">
      <c r="A261" s="162">
        <v>4715</v>
      </c>
      <c r="B261" s="163" t="s">
        <v>2914</v>
      </c>
      <c r="C261" s="934" t="s">
        <v>175</v>
      </c>
      <c r="D261" s="934" t="s">
        <v>180</v>
      </c>
      <c r="E261" s="984" t="s">
        <v>1913</v>
      </c>
      <c r="F261" s="985" t="s">
        <v>1916</v>
      </c>
      <c r="G261" s="984" t="e">
        <f>+VLOOKUP(Data_Validation!$A261,BV_Data_An_Cour!$M:$R,6,0)</f>
        <v>#N/A</v>
      </c>
      <c r="H261" s="159"/>
    </row>
    <row r="262" spans="1:8" ht="15" customHeight="1">
      <c r="A262" s="1108">
        <v>4721</v>
      </c>
      <c r="B262" s="163" t="s">
        <v>2107</v>
      </c>
      <c r="C262" s="934" t="s">
        <v>175</v>
      </c>
      <c r="D262" s="934" t="s">
        <v>177</v>
      </c>
      <c r="E262" s="984" t="s">
        <v>1913</v>
      </c>
      <c r="F262" s="985" t="s">
        <v>1916</v>
      </c>
      <c r="G262" s="984" t="e">
        <f>+VLOOKUP(Data_Validation!$A262,BV_Data_An_Cour!$M:$R,6,0)</f>
        <v>#N/A</v>
      </c>
      <c r="H262" s="159"/>
    </row>
    <row r="263" spans="1:8" ht="15" customHeight="1">
      <c r="A263" s="1102">
        <v>4731</v>
      </c>
      <c r="B263" s="163" t="s">
        <v>2100</v>
      </c>
      <c r="C263" s="934" t="s">
        <v>175</v>
      </c>
      <c r="D263" s="934" t="s">
        <v>178</v>
      </c>
      <c r="E263" s="984" t="s">
        <v>1913</v>
      </c>
      <c r="F263" s="985" t="s">
        <v>1916</v>
      </c>
      <c r="G263" s="984" t="e">
        <f>+VLOOKUP(Data_Validation!$A263,BV_Data_An_Cour!$M:$R,6,0)</f>
        <v>#N/A</v>
      </c>
      <c r="H263" s="159"/>
    </row>
    <row r="264" spans="1:8" ht="15" customHeight="1">
      <c r="A264" s="1102">
        <v>4733</v>
      </c>
      <c r="B264" s="165" t="s">
        <v>2083</v>
      </c>
      <c r="C264" s="934" t="s">
        <v>175</v>
      </c>
      <c r="D264" s="934" t="s">
        <v>178</v>
      </c>
      <c r="E264" s="984" t="s">
        <v>1913</v>
      </c>
      <c r="F264" s="985" t="s">
        <v>1916</v>
      </c>
      <c r="G264" s="984" t="e">
        <f>+VLOOKUP(Data_Validation!$A264,BV_Data_An_Cour!$M:$R,6,0)</f>
        <v>#N/A</v>
      </c>
      <c r="H264" s="159"/>
    </row>
    <row r="265" spans="1:8" ht="15" customHeight="1">
      <c r="A265" s="1108">
        <v>4735</v>
      </c>
      <c r="B265" s="165" t="s">
        <v>2158</v>
      </c>
      <c r="C265" s="934" t="s">
        <v>175</v>
      </c>
      <c r="D265" s="934" t="s">
        <v>178</v>
      </c>
      <c r="E265" s="984" t="s">
        <v>1913</v>
      </c>
      <c r="F265" s="985" t="s">
        <v>1916</v>
      </c>
      <c r="G265" s="984" t="e">
        <f>+VLOOKUP(Data_Validation!$A265,BV_Data_An_Cour!$M:$R,6,0)</f>
        <v>#N/A</v>
      </c>
      <c r="H265" s="159"/>
    </row>
    <row r="266" spans="1:8" ht="15" customHeight="1">
      <c r="A266" s="1102">
        <v>4761</v>
      </c>
      <c r="B266" s="165" t="s">
        <v>2075</v>
      </c>
      <c r="C266" s="934" t="s">
        <v>175</v>
      </c>
      <c r="D266" s="934" t="s">
        <v>181</v>
      </c>
      <c r="E266" s="984" t="s">
        <v>1913</v>
      </c>
      <c r="F266" s="985" t="s">
        <v>1916</v>
      </c>
      <c r="G266" s="984" t="e">
        <f>+VLOOKUP(Data_Validation!$A266,BV_Data_An_Cour!$M:$R,6,0)</f>
        <v>#N/A</v>
      </c>
      <c r="H266" s="159"/>
    </row>
    <row r="267" spans="1:8" ht="15" customHeight="1">
      <c r="A267" s="1102">
        <v>4763</v>
      </c>
      <c r="B267" s="165" t="s">
        <v>2038</v>
      </c>
      <c r="C267" s="934" t="s">
        <v>175</v>
      </c>
      <c r="D267" s="934" t="s">
        <v>182</v>
      </c>
      <c r="E267" s="984" t="s">
        <v>1913</v>
      </c>
      <c r="F267" s="985" t="s">
        <v>1916</v>
      </c>
      <c r="G267" s="984" t="e">
        <f>+VLOOKUP(Data_Validation!$A267,BV_Data_An_Cour!$M:$R,6,0)</f>
        <v>#N/A</v>
      </c>
      <c r="H267" s="159"/>
    </row>
    <row r="268" spans="1:8" ht="15" customHeight="1">
      <c r="A268" s="1102">
        <v>4781</v>
      </c>
      <c r="B268" s="165" t="s">
        <v>2027</v>
      </c>
      <c r="C268" s="934" t="s">
        <v>175</v>
      </c>
      <c r="D268" s="934" t="s">
        <v>186</v>
      </c>
      <c r="E268" s="984" t="s">
        <v>1913</v>
      </c>
      <c r="F268" s="985" t="s">
        <v>1916</v>
      </c>
      <c r="G268" s="984" t="e">
        <f>+VLOOKUP(Data_Validation!$A268,BV_Data_An_Cour!$M:$R,6,0)</f>
        <v>#N/A</v>
      </c>
      <c r="H268" s="159"/>
    </row>
    <row r="269" spans="1:8" ht="15" customHeight="1">
      <c r="A269" s="1102">
        <v>4785</v>
      </c>
      <c r="B269" s="165" t="s">
        <v>2113</v>
      </c>
      <c r="C269" s="934" t="s">
        <v>175</v>
      </c>
      <c r="D269" s="934" t="s">
        <v>186</v>
      </c>
      <c r="E269" s="984" t="s">
        <v>1913</v>
      </c>
      <c r="F269" s="985" t="s">
        <v>1916</v>
      </c>
      <c r="G269" s="984" t="e">
        <f>+VLOOKUP(Data_Validation!$A269,BV_Data_An_Cour!$M:$R,6,0)</f>
        <v>#N/A</v>
      </c>
      <c r="H269" s="159"/>
    </row>
    <row r="270" spans="1:8" ht="15" customHeight="1">
      <c r="A270" s="1108">
        <v>5100</v>
      </c>
      <c r="B270" s="165" t="s">
        <v>2831</v>
      </c>
      <c r="C270" s="934" t="s">
        <v>75</v>
      </c>
      <c r="D270" s="934" t="s">
        <v>96</v>
      </c>
      <c r="E270" s="984" t="s">
        <v>1913</v>
      </c>
      <c r="F270" s="985"/>
      <c r="G270" s="984" t="e">
        <f>+VLOOKUP(Data_Validation!$A270,BV_Data_An_Cour!$M:$R,6,0)</f>
        <v>#N/A</v>
      </c>
      <c r="H270" s="159"/>
    </row>
    <row r="271" spans="1:8" ht="15" customHeight="1">
      <c r="A271" s="1102">
        <v>5101</v>
      </c>
      <c r="B271" s="165" t="s">
        <v>2437</v>
      </c>
      <c r="C271" s="934" t="s">
        <v>75</v>
      </c>
      <c r="D271" s="934" t="s">
        <v>89</v>
      </c>
      <c r="E271" s="984" t="s">
        <v>1913</v>
      </c>
      <c r="F271" s="984"/>
      <c r="G271" s="984" t="e">
        <f>+VLOOKUP(Data_Validation!$A271,BV_Data_An_Cour!$M:$R,6,0)</f>
        <v>#N/A</v>
      </c>
      <c r="H271" s="159"/>
    </row>
    <row r="272" spans="1:8" ht="15" customHeight="1">
      <c r="A272" s="1102">
        <v>5105</v>
      </c>
      <c r="B272" s="163" t="s">
        <v>2439</v>
      </c>
      <c r="C272" s="934" t="s">
        <v>75</v>
      </c>
      <c r="D272" s="934" t="s">
        <v>89</v>
      </c>
      <c r="E272" s="984" t="s">
        <v>1913</v>
      </c>
      <c r="F272" s="984"/>
      <c r="G272" s="984" t="e">
        <f>+VLOOKUP(Data_Validation!$A272,BV_Data_An_Cour!$M:$R,6,0)</f>
        <v>#N/A</v>
      </c>
      <c r="H272" s="159"/>
    </row>
    <row r="273" spans="1:8" s="564" customFormat="1" ht="15" customHeight="1">
      <c r="A273" s="1102">
        <v>5107</v>
      </c>
      <c r="B273" s="165" t="s">
        <v>2833</v>
      </c>
      <c r="C273" s="934" t="s">
        <v>75</v>
      </c>
      <c r="D273" s="934" t="s">
        <v>89</v>
      </c>
      <c r="E273" s="984" t="s">
        <v>1913</v>
      </c>
      <c r="F273" s="984"/>
      <c r="G273" s="984" t="e">
        <f>+VLOOKUP(Data_Validation!$A273,BV_Data_An_Cour!$M:$R,6,0)</f>
        <v>#N/A</v>
      </c>
      <c r="H273" s="159"/>
    </row>
    <row r="274" spans="1:8" ht="15" customHeight="1">
      <c r="A274" s="1102">
        <v>5109</v>
      </c>
      <c r="B274" s="163" t="s">
        <v>2441</v>
      </c>
      <c r="C274" s="934" t="s">
        <v>75</v>
      </c>
      <c r="D274" s="934" t="s">
        <v>89</v>
      </c>
      <c r="E274" s="984" t="s">
        <v>1913</v>
      </c>
      <c r="F274" s="984"/>
      <c r="G274" s="984" t="e">
        <f>+VLOOKUP(Data_Validation!$A274,BV_Data_An_Cour!$M:$R,6,0)</f>
        <v>#N/A</v>
      </c>
      <c r="H274" s="159"/>
    </row>
    <row r="275" spans="1:8" ht="15" customHeight="1">
      <c r="A275" s="1102">
        <v>5111</v>
      </c>
      <c r="B275" s="163" t="s">
        <v>2835</v>
      </c>
      <c r="C275" s="934" t="s">
        <v>75</v>
      </c>
      <c r="D275" s="934" t="s">
        <v>89</v>
      </c>
      <c r="E275" s="984" t="s">
        <v>1913</v>
      </c>
      <c r="F275" s="984"/>
      <c r="G275" s="984" t="e">
        <f>+VLOOKUP(Data_Validation!$A275,BV_Data_An_Cour!$M:$R,6,0)</f>
        <v>#N/A</v>
      </c>
      <c r="H275" s="159"/>
    </row>
    <row r="276" spans="1:8" ht="15" customHeight="1">
      <c r="A276" s="1102">
        <v>5113</v>
      </c>
      <c r="B276" s="165" t="s">
        <v>2443</v>
      </c>
      <c r="C276" s="934" t="s">
        <v>75</v>
      </c>
      <c r="D276" s="934" t="s">
        <v>89</v>
      </c>
      <c r="E276" s="984" t="s">
        <v>1913</v>
      </c>
      <c r="F276" s="984"/>
      <c r="G276" s="984" t="e">
        <f>+VLOOKUP(Data_Validation!$A276,BV_Data_An_Cour!$M:$R,6,0)</f>
        <v>#N/A</v>
      </c>
      <c r="H276" s="159"/>
    </row>
    <row r="277" spans="1:8" ht="15" customHeight="1">
      <c r="A277" s="1102">
        <v>5115</v>
      </c>
      <c r="B277" s="163" t="s">
        <v>2445</v>
      </c>
      <c r="C277" s="934" t="s">
        <v>75</v>
      </c>
      <c r="D277" s="934" t="s">
        <v>89</v>
      </c>
      <c r="E277" s="984" t="s">
        <v>1913</v>
      </c>
      <c r="F277" s="984"/>
      <c r="G277" s="984" t="e">
        <f>+VLOOKUP(Data_Validation!$A277,BV_Data_An_Cour!$M:$R,6,0)</f>
        <v>#N/A</v>
      </c>
      <c r="H277" s="159"/>
    </row>
    <row r="278" spans="1:8" ht="15" customHeight="1">
      <c r="A278" s="1102">
        <v>5118</v>
      </c>
      <c r="B278" s="165" t="s">
        <v>2897</v>
      </c>
      <c r="C278" s="934" t="s">
        <v>75</v>
      </c>
      <c r="D278" s="934" t="s">
        <v>90</v>
      </c>
      <c r="E278" s="984" t="s">
        <v>1913</v>
      </c>
      <c r="F278" s="984"/>
      <c r="G278" s="984" t="e">
        <f>+VLOOKUP(Data_Validation!$A277,BV_Data_An_Cour!$M:$R,6,0)</f>
        <v>#N/A</v>
      </c>
      <c r="H278" s="159"/>
    </row>
    <row r="279" spans="1:8" ht="15" customHeight="1">
      <c r="A279" s="1102">
        <v>5119</v>
      </c>
      <c r="B279" s="165" t="s">
        <v>2841</v>
      </c>
      <c r="C279" s="934" t="s">
        <v>75</v>
      </c>
      <c r="D279" s="934" t="s">
        <v>90</v>
      </c>
      <c r="E279" s="984" t="s">
        <v>1913</v>
      </c>
      <c r="F279" s="984"/>
      <c r="G279" s="984" t="e">
        <f>+VLOOKUP(Data_Validation!$A279,BV_Data_An_Cour!$M:$R,6,0)</f>
        <v>#N/A</v>
      </c>
      <c r="H279" s="159"/>
    </row>
    <row r="280" spans="1:8" ht="15" customHeight="1">
      <c r="A280" s="929">
        <v>5121</v>
      </c>
      <c r="B280" s="165" t="s">
        <v>2885</v>
      </c>
      <c r="C280" s="934" t="s">
        <v>75</v>
      </c>
      <c r="D280" s="934" t="s">
        <v>90</v>
      </c>
      <c r="E280" s="984" t="s">
        <v>1913</v>
      </c>
      <c r="F280" s="985"/>
      <c r="G280" s="984" t="e">
        <f>+VLOOKUP(Data_Validation!$A559,BV_Data_An_Cour!$M:$R,6,0)</f>
        <v>#N/A</v>
      </c>
      <c r="H280" s="159"/>
    </row>
    <row r="281" spans="1:8" ht="15" customHeight="1">
      <c r="A281" s="929">
        <v>5127</v>
      </c>
      <c r="B281" s="163" t="s">
        <v>2827</v>
      </c>
      <c r="C281" s="934" t="s">
        <v>75</v>
      </c>
      <c r="D281" s="934" t="s">
        <v>89</v>
      </c>
      <c r="E281" s="984" t="s">
        <v>1913</v>
      </c>
      <c r="F281" s="984"/>
      <c r="G281" s="984" t="e">
        <f>+VLOOKUP(Data_Validation!$A280,BV_Data_An_Cour!$M:$R,6,0)</f>
        <v>#N/A</v>
      </c>
      <c r="H281" s="159"/>
    </row>
    <row r="282" spans="1:8" ht="15" customHeight="1">
      <c r="A282" s="1111">
        <v>5131</v>
      </c>
      <c r="B282" s="999" t="s">
        <v>2846</v>
      </c>
      <c r="C282" s="995" t="s">
        <v>75</v>
      </c>
      <c r="D282" s="934" t="s">
        <v>90</v>
      </c>
      <c r="E282" s="984" t="s">
        <v>1913</v>
      </c>
      <c r="F282" s="984"/>
      <c r="G282" s="984" t="e">
        <f>+VLOOKUP(Data_Validation!$A281,BV_Data_An_Cour!$M:$R,6,0)</f>
        <v>#N/A</v>
      </c>
      <c r="H282" s="159"/>
    </row>
    <row r="283" spans="1:8" ht="15" customHeight="1">
      <c r="A283" s="1111">
        <v>5135</v>
      </c>
      <c r="B283" s="998" t="s">
        <v>2829</v>
      </c>
      <c r="C283" s="1369" t="s">
        <v>75</v>
      </c>
      <c r="D283" s="934" t="s">
        <v>89</v>
      </c>
      <c r="E283" s="984" t="s">
        <v>1913</v>
      </c>
      <c r="F283" s="984"/>
      <c r="G283" s="984" t="e">
        <f>+VLOOKUP(Data_Validation!$A282,BV_Data_An_Cour!$M:$R,6,0)</f>
        <v>#N/A</v>
      </c>
      <c r="H283" s="159"/>
    </row>
    <row r="284" spans="1:8" ht="15" customHeight="1">
      <c r="A284" s="1111">
        <v>5137</v>
      </c>
      <c r="B284" s="997" t="s">
        <v>2447</v>
      </c>
      <c r="C284" s="934" t="s">
        <v>75</v>
      </c>
      <c r="D284" s="934" t="s">
        <v>95</v>
      </c>
      <c r="E284" s="984" t="s">
        <v>1913</v>
      </c>
      <c r="F284" s="984"/>
      <c r="G284" s="984" t="e">
        <f>+VLOOKUP(Data_Validation!$A283,BV_Data_An_Cour!$M:$R,6,0)</f>
        <v>#N/A</v>
      </c>
      <c r="H284" s="159"/>
    </row>
    <row r="285" spans="1:8" ht="15" customHeight="1">
      <c r="A285" s="1111">
        <v>5139</v>
      </c>
      <c r="B285" s="165" t="s">
        <v>2447</v>
      </c>
      <c r="C285" s="934" t="s">
        <v>75</v>
      </c>
      <c r="D285" s="934" t="s">
        <v>94</v>
      </c>
      <c r="E285" s="984" t="s">
        <v>1913</v>
      </c>
      <c r="F285" s="984"/>
      <c r="G285" s="984" t="e">
        <f>+VLOOKUP(Data_Validation!$A284,BV_Data_An_Cour!$M:$R,6,0)</f>
        <v>#N/A</v>
      </c>
      <c r="H285" s="159"/>
    </row>
    <row r="286" spans="1:8" ht="15" customHeight="1">
      <c r="A286" s="1111">
        <v>5144</v>
      </c>
      <c r="B286" s="997" t="s">
        <v>3347</v>
      </c>
      <c r="C286" s="934" t="s">
        <v>75</v>
      </c>
      <c r="D286" s="934" t="s">
        <v>89</v>
      </c>
      <c r="E286" s="984" t="s">
        <v>1913</v>
      </c>
      <c r="F286" s="984"/>
      <c r="G286" s="984" t="e">
        <f>+VLOOKUP(Data_Validation!$A285,BV_Data_An_Cour!$M:$R,6,0)</f>
        <v>#N/A</v>
      </c>
      <c r="H286" s="159"/>
    </row>
    <row r="287" spans="1:8" ht="15" customHeight="1">
      <c r="A287" s="1111">
        <v>5201</v>
      </c>
      <c r="B287" s="994" t="s">
        <v>2843</v>
      </c>
      <c r="C287" s="995" t="s">
        <v>144</v>
      </c>
      <c r="D287" s="934" t="s">
        <v>146</v>
      </c>
      <c r="E287" s="984" t="s">
        <v>1913</v>
      </c>
      <c r="F287" s="984"/>
      <c r="G287" s="984" t="e">
        <f>+VLOOKUP(Data_Validation!$A286,BV_Data_An_Cour!$M:$R,6,0)</f>
        <v>#N/A</v>
      </c>
      <c r="H287" s="159"/>
    </row>
    <row r="288" spans="1:8" ht="15" customHeight="1">
      <c r="A288" s="1102">
        <v>5203</v>
      </c>
      <c r="B288" s="163" t="s">
        <v>2821</v>
      </c>
      <c r="C288" s="1369" t="s">
        <v>144</v>
      </c>
      <c r="D288" s="934" t="s">
        <v>146</v>
      </c>
      <c r="E288" s="984" t="s">
        <v>1913</v>
      </c>
      <c r="F288" s="984"/>
      <c r="G288" s="984" t="e">
        <f>+VLOOKUP(Data_Validation!$A287,BV_Data_An_Cour!$M:$R,6,0)</f>
        <v>#N/A</v>
      </c>
      <c r="H288" s="159"/>
    </row>
    <row r="289" spans="1:8" ht="15" customHeight="1">
      <c r="A289" s="1102">
        <v>5211</v>
      </c>
      <c r="B289" s="165" t="s">
        <v>2609</v>
      </c>
      <c r="C289" s="934" t="s">
        <v>144</v>
      </c>
      <c r="D289" s="934" t="s">
        <v>147</v>
      </c>
      <c r="E289" s="984" t="s">
        <v>1913</v>
      </c>
      <c r="F289" s="984"/>
      <c r="G289" s="984" t="e">
        <f>+VLOOKUP(Data_Validation!$A288,BV_Data_An_Cour!$M:$R,6,0)</f>
        <v>#N/A</v>
      </c>
      <c r="H289" s="159"/>
    </row>
    <row r="290" spans="1:8" ht="15" customHeight="1">
      <c r="A290" s="1102">
        <v>5213</v>
      </c>
      <c r="B290" s="163" t="s">
        <v>2449</v>
      </c>
      <c r="C290" s="934" t="s">
        <v>144</v>
      </c>
      <c r="D290" s="934" t="s">
        <v>147</v>
      </c>
      <c r="E290" s="984" t="s">
        <v>1913</v>
      </c>
      <c r="F290" s="984"/>
      <c r="G290" s="984" t="e">
        <f>+VLOOKUP(Data_Validation!$A289,BV_Data_An_Cour!$M:$R,6,0)</f>
        <v>#N/A</v>
      </c>
      <c r="H290" s="159"/>
    </row>
    <row r="291" spans="1:8" ht="15" customHeight="1">
      <c r="A291" s="1102">
        <v>5285</v>
      </c>
      <c r="B291" s="163" t="s">
        <v>2031</v>
      </c>
      <c r="C291" s="934" t="s">
        <v>144</v>
      </c>
      <c r="D291" s="934" t="s">
        <v>147</v>
      </c>
      <c r="E291" s="984" t="s">
        <v>1913</v>
      </c>
      <c r="F291" s="984"/>
      <c r="G291" s="984" t="e">
        <f>+VLOOKUP(Data_Validation!$A290,BV_Data_An_Cour!$M:$R,6,0)</f>
        <v>#N/A</v>
      </c>
      <c r="H291" s="159"/>
    </row>
    <row r="292" spans="1:8" ht="15" customHeight="1">
      <c r="A292" s="1108">
        <v>5286</v>
      </c>
      <c r="B292" s="165" t="s">
        <v>2663</v>
      </c>
      <c r="C292" s="934" t="s">
        <v>144</v>
      </c>
      <c r="D292" s="934" t="s">
        <v>147</v>
      </c>
      <c r="E292" s="984" t="s">
        <v>1913</v>
      </c>
      <c r="F292" s="984"/>
      <c r="G292" s="984" t="e">
        <f>+VLOOKUP(Data_Validation!$A291,BV_Data_An_Cour!$M:$R,6,0)</f>
        <v>#N/A</v>
      </c>
      <c r="H292" s="159"/>
    </row>
    <row r="293" spans="1:8" ht="15" customHeight="1">
      <c r="A293" s="1102">
        <v>5291</v>
      </c>
      <c r="B293" s="165" t="s">
        <v>1999</v>
      </c>
      <c r="C293" s="934" t="s">
        <v>144</v>
      </c>
      <c r="D293" s="934" t="s">
        <v>150</v>
      </c>
      <c r="E293" s="984" t="s">
        <v>1913</v>
      </c>
      <c r="F293" s="984"/>
      <c r="G293" s="984" t="e">
        <f>+VLOOKUP(Data_Validation!$A292,BV_Data_An_Cour!$M:$R,6,0)</f>
        <v>#N/A</v>
      </c>
      <c r="H293" s="159"/>
    </row>
    <row r="294" spans="1:8" ht="15" customHeight="1">
      <c r="A294" s="1102">
        <v>5401</v>
      </c>
      <c r="B294" s="163" t="s">
        <v>2819</v>
      </c>
      <c r="C294" s="934" t="s">
        <v>155</v>
      </c>
      <c r="D294" s="934" t="s">
        <v>159</v>
      </c>
      <c r="E294" s="984" t="s">
        <v>1913</v>
      </c>
      <c r="F294" s="984"/>
      <c r="G294" s="984" t="e">
        <f>+VLOOKUP(Data_Validation!$A293,BV_Data_An_Cour!$M:$R,6,0)</f>
        <v>#N/A</v>
      </c>
      <c r="H294" s="159"/>
    </row>
    <row r="295" spans="1:8" ht="15" customHeight="1">
      <c r="A295" s="1102">
        <v>5402</v>
      </c>
      <c r="B295" s="165" t="s">
        <v>2557</v>
      </c>
      <c r="C295" s="934" t="s">
        <v>155</v>
      </c>
      <c r="D295" s="934" t="s">
        <v>163</v>
      </c>
      <c r="E295" s="984" t="s">
        <v>1913</v>
      </c>
      <c r="F295" s="984"/>
      <c r="G295" s="984" t="e">
        <f>+VLOOKUP(Data_Validation!$A294,BV_Data_An_Cour!$M:$R,6,0)</f>
        <v>#N/A</v>
      </c>
      <c r="H295" s="159"/>
    </row>
    <row r="296" spans="1:8" ht="15" customHeight="1">
      <c r="A296" s="1102">
        <v>5403</v>
      </c>
      <c r="B296" s="165" t="s">
        <v>2782</v>
      </c>
      <c r="C296" s="934" t="s">
        <v>155</v>
      </c>
      <c r="D296" s="934" t="s">
        <v>161</v>
      </c>
      <c r="E296" s="984" t="s">
        <v>1913</v>
      </c>
      <c r="F296" s="984"/>
      <c r="G296" s="984" t="e">
        <f>+VLOOKUP(Data_Validation!$A295,BV_Data_An_Cour!$M:$R,6,0)</f>
        <v>#N/A</v>
      </c>
      <c r="H296" s="159"/>
    </row>
    <row r="297" spans="1:8" ht="15" customHeight="1">
      <c r="A297" s="1102">
        <v>5405</v>
      </c>
      <c r="B297" s="165" t="s">
        <v>2768</v>
      </c>
      <c r="C297" s="934" t="s">
        <v>155</v>
      </c>
      <c r="D297" s="934" t="s">
        <v>162</v>
      </c>
      <c r="E297" s="984" t="s">
        <v>1913</v>
      </c>
      <c r="F297" s="984"/>
      <c r="G297" s="984" t="e">
        <f>+VLOOKUP(Data_Validation!$A296,BV_Data_An_Cour!$M:$R,6,0)</f>
        <v>#N/A</v>
      </c>
      <c r="H297" s="159"/>
    </row>
    <row r="298" spans="1:8" ht="15" customHeight="1">
      <c r="A298" s="1102">
        <v>5416</v>
      </c>
      <c r="B298" s="165" t="s">
        <v>2716</v>
      </c>
      <c r="C298" s="934" t="s">
        <v>155</v>
      </c>
      <c r="D298" s="934" t="s">
        <v>164</v>
      </c>
      <c r="E298" s="984" t="s">
        <v>1913</v>
      </c>
      <c r="F298" s="984"/>
      <c r="G298" s="984" t="e">
        <f>+VLOOKUP(Data_Validation!$A297,BV_Data_An_Cour!$M:$R,6,0)</f>
        <v>#N/A</v>
      </c>
      <c r="H298" s="159"/>
    </row>
    <row r="299" spans="1:8" ht="15" customHeight="1">
      <c r="A299" s="1102">
        <v>5451</v>
      </c>
      <c r="B299" s="165" t="s">
        <v>2064</v>
      </c>
      <c r="C299" s="934" t="s">
        <v>175</v>
      </c>
      <c r="D299" s="934" t="s">
        <v>187</v>
      </c>
      <c r="E299" s="984" t="s">
        <v>1913</v>
      </c>
      <c r="F299" s="984"/>
      <c r="G299" s="984" t="e">
        <f>+VLOOKUP(Data_Validation!$A298,BV_Data_An_Cour!$M:$R,6,0)</f>
        <v>#N/A</v>
      </c>
      <c r="H299" s="159"/>
    </row>
    <row r="300" spans="1:8" ht="15" customHeight="1">
      <c r="A300" s="1102">
        <v>5491</v>
      </c>
      <c r="B300" s="165" t="s">
        <v>2137</v>
      </c>
      <c r="C300" s="934" t="s">
        <v>155</v>
      </c>
      <c r="D300" s="934" t="s">
        <v>167</v>
      </c>
      <c r="E300" s="984" t="s">
        <v>1913</v>
      </c>
      <c r="F300" s="984"/>
      <c r="G300" s="984" t="e">
        <f>+VLOOKUP(Data_Validation!$A299,BV_Data_An_Cour!$M:$R,6,0)</f>
        <v>#N/A</v>
      </c>
      <c r="H300" s="159"/>
    </row>
    <row r="301" spans="1:8" ht="15" customHeight="1">
      <c r="A301" s="1102">
        <v>5493</v>
      </c>
      <c r="B301" s="163" t="s">
        <v>2678</v>
      </c>
      <c r="C301" s="934" t="s">
        <v>155</v>
      </c>
      <c r="D301" s="934" t="s">
        <v>167</v>
      </c>
      <c r="E301" s="984" t="s">
        <v>1913</v>
      </c>
      <c r="F301" s="987"/>
      <c r="G301" s="987" t="e">
        <f>+VLOOKUP(Data_Validation!$A300,BV_Data_An_Cour!$M:$R,6,0)</f>
        <v>#N/A</v>
      </c>
      <c r="H301" s="159"/>
    </row>
    <row r="302" spans="1:8" ht="15" customHeight="1">
      <c r="A302" s="1102">
        <v>5495</v>
      </c>
      <c r="B302" s="165" t="s">
        <v>2780</v>
      </c>
      <c r="C302" s="934" t="s">
        <v>155</v>
      </c>
      <c r="D302" s="934" t="s">
        <v>167</v>
      </c>
      <c r="E302" s="984" t="s">
        <v>1913</v>
      </c>
      <c r="F302" s="984"/>
      <c r="G302" s="984" t="e">
        <f>+VLOOKUP(Data_Validation!$A301,BV_Data_An_Cour!$M:$R,6,0)</f>
        <v>#N/A</v>
      </c>
      <c r="H302" s="159"/>
    </row>
    <row r="303" spans="1:8" ht="15" customHeight="1">
      <c r="A303" s="1102">
        <v>5591</v>
      </c>
      <c r="B303" s="165" t="s">
        <v>2789</v>
      </c>
      <c r="C303" s="934" t="s">
        <v>171</v>
      </c>
      <c r="D303" s="934" t="s">
        <v>172</v>
      </c>
      <c r="E303" s="984" t="s">
        <v>1913</v>
      </c>
      <c r="F303" s="984"/>
      <c r="G303" s="984" t="e">
        <f>+VLOOKUP(Data_Validation!$A302,BV_Data_An_Cour!$M:$R,6,0)</f>
        <v>#N/A</v>
      </c>
      <c r="H303" s="159"/>
    </row>
    <row r="304" spans="1:8" ht="15" customHeight="1">
      <c r="A304" s="1102">
        <v>5593</v>
      </c>
      <c r="B304" s="165" t="s">
        <v>2799</v>
      </c>
      <c r="C304" s="934" t="s">
        <v>171</v>
      </c>
      <c r="D304" s="934" t="s">
        <v>172</v>
      </c>
      <c r="E304" s="984" t="s">
        <v>1913</v>
      </c>
      <c r="F304" s="984"/>
      <c r="G304" s="984" t="e">
        <f>+VLOOKUP(Data_Validation!$A303,BV_Data_An_Cour!$M:$R,6,0)</f>
        <v>#N/A</v>
      </c>
      <c r="H304" s="159"/>
    </row>
    <row r="305" spans="1:8" s="564" customFormat="1" ht="15" customHeight="1">
      <c r="A305" s="1102">
        <v>5595</v>
      </c>
      <c r="B305" s="165" t="s">
        <v>2758</v>
      </c>
      <c r="C305" s="934" t="s">
        <v>171</v>
      </c>
      <c r="D305" s="934" t="s">
        <v>172</v>
      </c>
      <c r="E305" s="984" t="s">
        <v>1913</v>
      </c>
      <c r="F305" s="984"/>
      <c r="G305" s="984" t="e">
        <f>+VLOOKUP(Data_Validation!$A304,BV_Data_An_Cour!$M:$R,6,0)</f>
        <v>#N/A</v>
      </c>
      <c r="H305" s="159"/>
    </row>
    <row r="306" spans="1:8" ht="15" customHeight="1">
      <c r="A306" s="1102">
        <v>5701</v>
      </c>
      <c r="B306" s="165" t="s">
        <v>2823</v>
      </c>
      <c r="C306" s="934" t="s">
        <v>175</v>
      </c>
      <c r="D306" s="934" t="s">
        <v>177</v>
      </c>
      <c r="E306" s="984" t="s">
        <v>1913</v>
      </c>
      <c r="F306" s="984"/>
      <c r="G306" s="984" t="e">
        <f>+VLOOKUP(Data_Validation!$A305,BV_Data_An_Cour!$M:$R,6,0)</f>
        <v>#N/A</v>
      </c>
      <c r="H306" s="159"/>
    </row>
    <row r="307" spans="1:8" ht="15" customHeight="1">
      <c r="A307" s="1102">
        <v>5702</v>
      </c>
      <c r="B307" s="165" t="s">
        <v>2649</v>
      </c>
      <c r="C307" s="934" t="s">
        <v>155</v>
      </c>
      <c r="D307" s="934" t="s">
        <v>159</v>
      </c>
      <c r="E307" s="984" t="s">
        <v>1913</v>
      </c>
      <c r="F307" s="984"/>
      <c r="G307" s="984" t="e">
        <f>+VLOOKUP(Data_Validation!$A306,BV_Data_An_Cour!$M:$R,6,0)</f>
        <v>#N/A</v>
      </c>
      <c r="H307" s="159"/>
    </row>
    <row r="308" spans="1:8" ht="15" customHeight="1">
      <c r="A308" s="1102">
        <v>5703</v>
      </c>
      <c r="B308" s="163" t="s">
        <v>2805</v>
      </c>
      <c r="C308" s="934" t="s">
        <v>175</v>
      </c>
      <c r="D308" s="934" t="s">
        <v>179</v>
      </c>
      <c r="E308" s="984" t="s">
        <v>1913</v>
      </c>
      <c r="F308" s="984"/>
      <c r="G308" s="984" t="e">
        <f>+VLOOKUP(Data_Validation!$A307,BV_Data_An_Cour!$M:$R,6,0)</f>
        <v>#N/A</v>
      </c>
      <c r="H308" s="159"/>
    </row>
    <row r="309" spans="1:8" ht="15" customHeight="1">
      <c r="A309" s="1102">
        <v>5705</v>
      </c>
      <c r="B309" s="165" t="s">
        <v>2802</v>
      </c>
      <c r="C309" s="934" t="s">
        <v>175</v>
      </c>
      <c r="D309" s="934" t="s">
        <v>180</v>
      </c>
      <c r="E309" s="984" t="s">
        <v>1913</v>
      </c>
      <c r="F309" s="984"/>
      <c r="G309" s="984" t="e">
        <f>+VLOOKUP(Data_Validation!$A308,BV_Data_An_Cour!$M:$R,6,0)</f>
        <v>#N/A</v>
      </c>
      <c r="H309" s="159"/>
    </row>
    <row r="310" spans="1:8" ht="15" customHeight="1">
      <c r="A310" s="1102">
        <v>5706</v>
      </c>
      <c r="B310" s="163" t="s">
        <v>2649</v>
      </c>
      <c r="C310" s="934" t="s">
        <v>155</v>
      </c>
      <c r="D310" s="934" t="s">
        <v>162</v>
      </c>
      <c r="E310" s="984" t="s">
        <v>1913</v>
      </c>
      <c r="F310" s="984"/>
      <c r="G310" s="984" t="e">
        <f>+VLOOKUP(Data_Validation!$A309,BV_Data_An_Cour!$M:$R,6,0)</f>
        <v>#N/A</v>
      </c>
      <c r="H310" s="159"/>
    </row>
    <row r="311" spans="1:8" ht="15" customHeight="1">
      <c r="A311" s="1102">
        <v>5711</v>
      </c>
      <c r="B311" s="165" t="s">
        <v>2451</v>
      </c>
      <c r="C311" s="934" t="s">
        <v>175</v>
      </c>
      <c r="D311" s="934" t="s">
        <v>177</v>
      </c>
      <c r="E311" s="984" t="s">
        <v>1913</v>
      </c>
      <c r="F311" s="984"/>
      <c r="G311" s="984" t="e">
        <f>+VLOOKUP(Data_Validation!$A310,BV_Data_An_Cour!$M:$R,6,0)</f>
        <v>#N/A</v>
      </c>
      <c r="H311" s="159"/>
    </row>
    <row r="312" spans="1:8" ht="15" customHeight="1">
      <c r="A312" s="1102">
        <v>5715</v>
      </c>
      <c r="B312" s="165" t="s">
        <v>2917</v>
      </c>
      <c r="C312" s="934" t="s">
        <v>175</v>
      </c>
      <c r="D312" s="934" t="s">
        <v>180</v>
      </c>
      <c r="E312" s="984" t="s">
        <v>1913</v>
      </c>
      <c r="F312" s="984"/>
      <c r="G312" s="984" t="e">
        <f>+VLOOKUP(Data_Validation!$A311,BV_Data_An_Cour!$M:$R,6,0)</f>
        <v>#N/A</v>
      </c>
      <c r="H312" s="159"/>
    </row>
    <row r="313" spans="1:8" ht="15" customHeight="1">
      <c r="A313" s="1102">
        <v>5721</v>
      </c>
      <c r="B313" s="163" t="s">
        <v>2451</v>
      </c>
      <c r="C313" s="934" t="s">
        <v>175</v>
      </c>
      <c r="D313" s="934" t="s">
        <v>177</v>
      </c>
      <c r="E313" s="984" t="s">
        <v>1913</v>
      </c>
      <c r="F313" s="984"/>
      <c r="G313" s="984" t="e">
        <f>+VLOOKUP(Data_Validation!$A312,BV_Data_An_Cour!$M:$R,6,0)</f>
        <v>#N/A</v>
      </c>
      <c r="H313" s="159"/>
    </row>
    <row r="314" spans="1:8" ht="15" customHeight="1">
      <c r="A314" s="1102">
        <v>5731</v>
      </c>
      <c r="B314" s="165" t="s">
        <v>2745</v>
      </c>
      <c r="C314" s="934" t="s">
        <v>175</v>
      </c>
      <c r="D314" s="934" t="s">
        <v>178</v>
      </c>
      <c r="E314" s="984" t="s">
        <v>1913</v>
      </c>
      <c r="F314" s="984"/>
      <c r="G314" s="984" t="e">
        <f>+VLOOKUP(Data_Validation!$A313,BV_Data_An_Cour!$M:$R,6,0)</f>
        <v>#N/A</v>
      </c>
      <c r="H314" s="159"/>
    </row>
    <row r="315" spans="1:8" ht="15" customHeight="1">
      <c r="A315" s="1102">
        <v>5733</v>
      </c>
      <c r="B315" s="163" t="s">
        <v>2778</v>
      </c>
      <c r="C315" s="934" t="s">
        <v>175</v>
      </c>
      <c r="D315" s="934" t="s">
        <v>178</v>
      </c>
      <c r="E315" s="984" t="s">
        <v>1913</v>
      </c>
      <c r="F315" s="984"/>
      <c r="G315" s="984" t="e">
        <f>+VLOOKUP(Data_Validation!$A314,BV_Data_An_Cour!$M:$R,6,0)</f>
        <v>#N/A</v>
      </c>
      <c r="H315" s="159"/>
    </row>
    <row r="316" spans="1:8" ht="15" customHeight="1">
      <c r="A316" s="1102">
        <v>5735</v>
      </c>
      <c r="B316" s="165" t="s">
        <v>2659</v>
      </c>
      <c r="C316" s="934" t="s">
        <v>175</v>
      </c>
      <c r="D316" s="934" t="s">
        <v>178</v>
      </c>
      <c r="E316" s="984" t="s">
        <v>1913</v>
      </c>
      <c r="F316" s="984"/>
      <c r="G316" s="984" t="e">
        <f>+VLOOKUP(Data_Validation!$A315,BV_Data_An_Cour!$M:$R,6,0)</f>
        <v>#N/A</v>
      </c>
      <c r="H316" s="159"/>
    </row>
    <row r="317" spans="1:8" ht="15" customHeight="1">
      <c r="A317" s="1102">
        <v>5761</v>
      </c>
      <c r="B317" s="165" t="s">
        <v>2785</v>
      </c>
      <c r="C317" s="934" t="s">
        <v>175</v>
      </c>
      <c r="D317" s="934" t="s">
        <v>181</v>
      </c>
      <c r="E317" s="984" t="s">
        <v>1913</v>
      </c>
      <c r="F317" s="984"/>
      <c r="G317" s="984" t="e">
        <f>+VLOOKUP(Data_Validation!$A316,BV_Data_An_Cour!$M:$R,6,0)</f>
        <v>#N/A</v>
      </c>
      <c r="H317" s="159"/>
    </row>
    <row r="318" spans="1:8" ht="15" customHeight="1">
      <c r="A318" s="1102">
        <v>5763</v>
      </c>
      <c r="B318" s="165" t="s">
        <v>2807</v>
      </c>
      <c r="C318" s="934" t="s">
        <v>175</v>
      </c>
      <c r="D318" s="934" t="s">
        <v>182</v>
      </c>
      <c r="E318" s="984" t="s">
        <v>1913</v>
      </c>
      <c r="F318" s="984"/>
      <c r="G318" s="984" t="e">
        <f>+VLOOKUP(Data_Validation!$A317,BV_Data_An_Cour!$M:$R,6,0)</f>
        <v>#N/A</v>
      </c>
      <c r="H318" s="159"/>
    </row>
    <row r="319" spans="1:8" ht="15" customHeight="1">
      <c r="A319" s="1102">
        <v>5781</v>
      </c>
      <c r="B319" s="165" t="s">
        <v>2811</v>
      </c>
      <c r="C319" s="934" t="s">
        <v>175</v>
      </c>
      <c r="D319" s="934" t="s">
        <v>186</v>
      </c>
      <c r="E319" s="984" t="s">
        <v>1913</v>
      </c>
      <c r="F319" s="984"/>
      <c r="G319" s="984" t="e">
        <f>+VLOOKUP(Data_Validation!$A318,BV_Data_An_Cour!$M:$R,6,0)</f>
        <v>#N/A</v>
      </c>
      <c r="H319" s="159"/>
    </row>
    <row r="320" spans="1:8" ht="15" customHeight="1">
      <c r="A320" s="1102">
        <v>5785</v>
      </c>
      <c r="B320" s="165" t="s">
        <v>2720</v>
      </c>
      <c r="C320" s="934" t="s">
        <v>175</v>
      </c>
      <c r="D320" s="934" t="s">
        <v>186</v>
      </c>
      <c r="E320" s="984" t="s">
        <v>1913</v>
      </c>
      <c r="F320" s="984"/>
      <c r="G320" s="984" t="e">
        <f>+VLOOKUP(Data_Validation!$A319,BV_Data_An_Cour!$M:$R,6,0)</f>
        <v>#N/A</v>
      </c>
      <c r="H320" s="159"/>
    </row>
    <row r="321" spans="1:8" ht="15" customHeight="1">
      <c r="A321" s="1102">
        <v>5792</v>
      </c>
      <c r="B321" s="163" t="s">
        <v>2453</v>
      </c>
      <c r="C321" s="934" t="s">
        <v>175</v>
      </c>
      <c r="D321" s="934" t="s">
        <v>184</v>
      </c>
      <c r="E321" s="984" t="s">
        <v>1913</v>
      </c>
      <c r="F321" s="984"/>
      <c r="G321" s="984" t="e">
        <f>+VLOOKUP(Data_Validation!$A320,BV_Data_An_Cour!$M:$R,6,0)</f>
        <v>#N/A</v>
      </c>
      <c r="H321" s="159"/>
    </row>
    <row r="322" spans="1:8" ht="15" customHeight="1">
      <c r="A322" s="1102">
        <v>5796</v>
      </c>
      <c r="B322" s="165" t="s">
        <v>2128</v>
      </c>
      <c r="C322" s="934" t="s">
        <v>175</v>
      </c>
      <c r="D322" s="934" t="s">
        <v>183</v>
      </c>
      <c r="E322" s="984" t="s">
        <v>1913</v>
      </c>
      <c r="F322" s="984"/>
      <c r="G322" s="984" t="e">
        <f>+VLOOKUP(Data_Validation!$A321,BV_Data_An_Cour!$M:$R,6,0)</f>
        <v>#N/A</v>
      </c>
      <c r="H322" s="159"/>
    </row>
    <row r="323" spans="1:8" ht="15" customHeight="1">
      <c r="A323" s="1102">
        <v>6101</v>
      </c>
      <c r="B323" s="165" t="s">
        <v>1520</v>
      </c>
      <c r="C323" s="934" t="s">
        <v>75</v>
      </c>
      <c r="D323" s="934" t="s">
        <v>103</v>
      </c>
      <c r="E323" s="984" t="s">
        <v>1913</v>
      </c>
      <c r="F323" s="984"/>
      <c r="G323" s="984" t="e">
        <f>+VLOOKUP(Data_Validation!$A322,BV_Data_An_Cour!$M:$R,6,0)</f>
        <v>#N/A</v>
      </c>
      <c r="H323" s="159"/>
    </row>
    <row r="324" spans="1:8" ht="15" customHeight="1">
      <c r="A324" s="1102">
        <v>6102</v>
      </c>
      <c r="B324" s="994" t="s">
        <v>1439</v>
      </c>
      <c r="C324" s="995" t="s">
        <v>75</v>
      </c>
      <c r="D324" s="934" t="s">
        <v>104</v>
      </c>
      <c r="E324" s="984" t="s">
        <v>1913</v>
      </c>
      <c r="F324" s="984"/>
      <c r="G324" s="984" t="e">
        <f>+VLOOKUP(Data_Validation!$A323,BV_Data_An_Cour!$M:$R,6,0)</f>
        <v>#N/A</v>
      </c>
      <c r="H324" s="159"/>
    </row>
    <row r="325" spans="1:8" ht="15" customHeight="1">
      <c r="A325" s="1102">
        <v>6103</v>
      </c>
      <c r="B325" s="994" t="s">
        <v>396</v>
      </c>
      <c r="C325" s="995" t="s">
        <v>75</v>
      </c>
      <c r="D325" s="934" t="s">
        <v>106</v>
      </c>
      <c r="E325" s="984" t="s">
        <v>1913</v>
      </c>
      <c r="F325" s="984"/>
      <c r="G325" s="984" t="e">
        <f>+VLOOKUP(Data_Validation!$A324,BV_Data_An_Cour!$M:$R,6,0)</f>
        <v>#N/A</v>
      </c>
      <c r="H325" s="159"/>
    </row>
    <row r="326" spans="1:8" ht="15" customHeight="1">
      <c r="A326" s="1102">
        <v>6106</v>
      </c>
      <c r="B326" s="994" t="s">
        <v>2748</v>
      </c>
      <c r="C326" s="995" t="s">
        <v>75</v>
      </c>
      <c r="D326" s="934" t="s">
        <v>107</v>
      </c>
      <c r="E326" s="984" t="s">
        <v>1913</v>
      </c>
      <c r="F326" s="984"/>
      <c r="G326" s="984" t="e">
        <f>+VLOOKUP(Data_Validation!$A325,BV_Data_An_Cour!$M:$R,6,0)</f>
        <v>#N/A</v>
      </c>
      <c r="H326" s="159"/>
    </row>
    <row r="327" spans="1:8" ht="15" customHeight="1">
      <c r="A327" s="1108">
        <v>6107</v>
      </c>
      <c r="B327" s="999" t="s">
        <v>935</v>
      </c>
      <c r="C327" s="995" t="s">
        <v>75</v>
      </c>
      <c r="D327" s="934" t="s">
        <v>109</v>
      </c>
      <c r="E327" s="984" t="s">
        <v>1913</v>
      </c>
      <c r="F327" s="984"/>
      <c r="G327" s="984" t="e">
        <f>+VLOOKUP(Data_Validation!$A326,BV_Data_An_Cour!$M:$R,6,0)</f>
        <v>#N/A</v>
      </c>
      <c r="H327" s="159"/>
    </row>
    <row r="328" spans="1:8" ht="15" customHeight="1">
      <c r="A328" s="1102">
        <v>6108</v>
      </c>
      <c r="B328" s="994" t="s">
        <v>1404</v>
      </c>
      <c r="C328" s="995" t="s">
        <v>75</v>
      </c>
      <c r="D328" s="934" t="s">
        <v>105</v>
      </c>
      <c r="E328" s="984" t="s">
        <v>1913</v>
      </c>
      <c r="F328" s="984"/>
      <c r="G328" s="984" t="e">
        <f>+VLOOKUP(Data_Validation!$A327,BV_Data_An_Cour!$M:$R,6,0)</f>
        <v>#N/A</v>
      </c>
      <c r="H328" s="159"/>
    </row>
    <row r="329" spans="1:8" ht="15" customHeight="1">
      <c r="A329" s="1108">
        <v>6114</v>
      </c>
      <c r="B329" s="163" t="s">
        <v>1371</v>
      </c>
      <c r="C329" s="1369" t="s">
        <v>75</v>
      </c>
      <c r="D329" s="934" t="s">
        <v>108</v>
      </c>
      <c r="E329" s="984" t="s">
        <v>1913</v>
      </c>
      <c r="F329" s="984"/>
      <c r="G329" s="984" t="e">
        <f>+VLOOKUP(Data_Validation!$A328,BV_Data_An_Cour!$M:$R,6,0)</f>
        <v>#N/A</v>
      </c>
      <c r="H329" s="159"/>
    </row>
    <row r="330" spans="1:8" ht="15" customHeight="1">
      <c r="A330" s="1102">
        <v>6115</v>
      </c>
      <c r="B330" s="165" t="s">
        <v>2104</v>
      </c>
      <c r="C330" s="934" t="s">
        <v>75</v>
      </c>
      <c r="D330" s="934" t="s">
        <v>108</v>
      </c>
      <c r="E330" s="984" t="s">
        <v>1913</v>
      </c>
      <c r="F330" s="984"/>
      <c r="G330" s="984" t="e">
        <f>+VLOOKUP(Data_Validation!$A329,BV_Data_An_Cour!$M:$R,6,0)</f>
        <v>#N/A</v>
      </c>
      <c r="H330" s="159"/>
    </row>
    <row r="331" spans="1:8" ht="15" customHeight="1">
      <c r="A331" s="1102">
        <v>6121</v>
      </c>
      <c r="B331" s="165" t="s">
        <v>1256</v>
      </c>
      <c r="C331" s="934" t="s">
        <v>75</v>
      </c>
      <c r="D331" s="934" t="s">
        <v>213</v>
      </c>
      <c r="E331" s="984" t="s">
        <v>1913</v>
      </c>
      <c r="F331" s="984"/>
      <c r="G331" s="984" t="e">
        <f>+VLOOKUP(Data_Validation!$A330,BV_Data_An_Cour!$M:$R,6,0)</f>
        <v>#N/A</v>
      </c>
      <c r="H331" s="159"/>
    </row>
    <row r="332" spans="1:8" ht="15" customHeight="1">
      <c r="A332" s="1108">
        <v>6122</v>
      </c>
      <c r="B332" s="163" t="s">
        <v>2615</v>
      </c>
      <c r="C332" s="934" t="s">
        <v>75</v>
      </c>
      <c r="D332" s="934" t="s">
        <v>112</v>
      </c>
      <c r="E332" s="984" t="s">
        <v>1913</v>
      </c>
      <c r="F332" s="984"/>
      <c r="G332" s="984" t="e">
        <f>+VLOOKUP(Data_Validation!$A331,BV_Data_An_Cour!$M:$R,6,0)</f>
        <v>#N/A</v>
      </c>
      <c r="H332" s="159"/>
    </row>
    <row r="333" spans="1:8" ht="15" customHeight="1">
      <c r="A333" s="1102">
        <v>6123</v>
      </c>
      <c r="B333" s="165" t="s">
        <v>1339</v>
      </c>
      <c r="C333" s="934" t="s">
        <v>75</v>
      </c>
      <c r="D333" s="934" t="s">
        <v>113</v>
      </c>
      <c r="E333" s="984" t="s">
        <v>1913</v>
      </c>
      <c r="F333" s="984"/>
      <c r="G333" s="984" t="e">
        <f>+VLOOKUP(Data_Validation!$A332,BV_Data_An_Cour!$M:$R,6,0)</f>
        <v>#N/A</v>
      </c>
      <c r="H333" s="159"/>
    </row>
    <row r="334" spans="1:8" ht="15" customHeight="1">
      <c r="A334" s="1108">
        <v>6124</v>
      </c>
      <c r="B334" s="163" t="s">
        <v>1246</v>
      </c>
      <c r="C334" s="934" t="s">
        <v>75</v>
      </c>
      <c r="D334" s="934" t="s">
        <v>114</v>
      </c>
      <c r="E334" s="984" t="s">
        <v>1913</v>
      </c>
      <c r="F334" s="984"/>
      <c r="G334" s="984" t="e">
        <f>+VLOOKUP(Data_Validation!$A333,BV_Data_An_Cour!$M:$R,6,0)</f>
        <v>#N/A</v>
      </c>
      <c r="H334" s="159"/>
    </row>
    <row r="335" spans="1:8" ht="15" customHeight="1">
      <c r="A335" s="1102">
        <v>6129</v>
      </c>
      <c r="B335" s="165" t="s">
        <v>1442</v>
      </c>
      <c r="C335" s="934" t="s">
        <v>75</v>
      </c>
      <c r="D335" s="934" t="s">
        <v>116</v>
      </c>
      <c r="E335" s="984" t="s">
        <v>1913</v>
      </c>
      <c r="F335" s="984"/>
      <c r="G335" s="984" t="e">
        <f>+VLOOKUP(Data_Validation!$A334,BV_Data_An_Cour!$M:$R,6,0)</f>
        <v>#N/A</v>
      </c>
      <c r="H335" s="159"/>
    </row>
    <row r="336" spans="1:8" ht="15" customHeight="1">
      <c r="A336" s="1102">
        <v>6131</v>
      </c>
      <c r="B336" s="165" t="s">
        <v>1249</v>
      </c>
      <c r="C336" s="934" t="s">
        <v>75</v>
      </c>
      <c r="D336" s="934" t="s">
        <v>119</v>
      </c>
      <c r="E336" s="984" t="s">
        <v>1913</v>
      </c>
      <c r="F336" s="984"/>
      <c r="G336" s="984" t="e">
        <f>+VLOOKUP(Data_Validation!$A335,BV_Data_An_Cour!$M:$R,6,0)</f>
        <v>#N/A</v>
      </c>
      <c r="H336" s="159"/>
    </row>
    <row r="337" spans="1:8" ht="15" customHeight="1">
      <c r="A337" s="1102">
        <v>6132</v>
      </c>
      <c r="B337" s="165" t="s">
        <v>1280</v>
      </c>
      <c r="C337" s="934" t="s">
        <v>75</v>
      </c>
      <c r="D337" s="934" t="s">
        <v>117</v>
      </c>
      <c r="E337" s="984" t="s">
        <v>1913</v>
      </c>
      <c r="F337" s="984"/>
      <c r="G337" s="984" t="e">
        <f>+VLOOKUP(Data_Validation!$A336,BV_Data_An_Cour!$M:$R,6,0)</f>
        <v>#N/A</v>
      </c>
      <c r="H337" s="159"/>
    </row>
    <row r="338" spans="1:8" ht="15" customHeight="1">
      <c r="A338" s="1108">
        <v>6139</v>
      </c>
      <c r="B338" s="163" t="s">
        <v>1411</v>
      </c>
      <c r="C338" s="934" t="s">
        <v>75</v>
      </c>
      <c r="D338" s="934" t="s">
        <v>118</v>
      </c>
      <c r="E338" s="984" t="s">
        <v>1913</v>
      </c>
      <c r="F338" s="984"/>
      <c r="G338" s="984" t="e">
        <f>+VLOOKUP(Data_Validation!$A337,BV_Data_An_Cour!$M:$R,6,0)</f>
        <v>#N/A</v>
      </c>
      <c r="H338" s="159"/>
    </row>
    <row r="339" spans="1:8" ht="15" customHeight="1">
      <c r="A339" s="1108">
        <v>6142</v>
      </c>
      <c r="B339" s="163" t="s">
        <v>1154</v>
      </c>
      <c r="C339" s="934" t="s">
        <v>75</v>
      </c>
      <c r="D339" s="934" t="s">
        <v>127</v>
      </c>
      <c r="E339" s="984" t="s">
        <v>1913</v>
      </c>
      <c r="F339" s="984"/>
      <c r="G339" s="984" t="e">
        <f>+VLOOKUP(Data_Validation!$A338,BV_Data_An_Cour!$M:$R,6,0)</f>
        <v>#N/A</v>
      </c>
      <c r="H339" s="159"/>
    </row>
    <row r="340" spans="1:8" ht="15" customHeight="1">
      <c r="A340" s="1108">
        <v>6143</v>
      </c>
      <c r="B340" s="165" t="s">
        <v>929</v>
      </c>
      <c r="C340" s="934" t="s">
        <v>75</v>
      </c>
      <c r="D340" s="934" t="s">
        <v>128</v>
      </c>
      <c r="E340" s="984" t="s">
        <v>1913</v>
      </c>
      <c r="F340" s="984"/>
      <c r="G340" s="984" t="e">
        <f>+VLOOKUP(Data_Validation!$A339,BV_Data_An_Cour!$M:$R,6,0)</f>
        <v>#N/A</v>
      </c>
      <c r="H340" s="159"/>
    </row>
    <row r="341" spans="1:8" ht="15" customHeight="1">
      <c r="A341" s="1108">
        <v>6144</v>
      </c>
      <c r="B341" s="165" t="s">
        <v>931</v>
      </c>
      <c r="C341" s="934" t="s">
        <v>75</v>
      </c>
      <c r="D341" s="934" t="s">
        <v>133</v>
      </c>
      <c r="E341" s="984" t="s">
        <v>1913</v>
      </c>
      <c r="F341" s="984"/>
      <c r="G341" s="984" t="e">
        <f>+VLOOKUP(Data_Validation!$A340,BV_Data_An_Cour!$M:$R,6,0)</f>
        <v>#N/A</v>
      </c>
      <c r="H341" s="159"/>
    </row>
    <row r="342" spans="1:8" ht="15" customHeight="1">
      <c r="A342" s="1102">
        <v>6145</v>
      </c>
      <c r="B342" s="165" t="s">
        <v>1183</v>
      </c>
      <c r="C342" s="934" t="s">
        <v>75</v>
      </c>
      <c r="D342" s="934" t="s">
        <v>123</v>
      </c>
      <c r="E342" s="984" t="s">
        <v>1913</v>
      </c>
      <c r="F342" s="984"/>
      <c r="G342" s="984" t="e">
        <f>+VLOOKUP(Data_Validation!$A341,BV_Data_An_Cour!$M:$R,6,0)</f>
        <v>#N/A</v>
      </c>
      <c r="H342" s="159"/>
    </row>
    <row r="343" spans="1:8" ht="15" customHeight="1">
      <c r="A343" s="1108">
        <v>6147</v>
      </c>
      <c r="B343" s="163" t="s">
        <v>1177</v>
      </c>
      <c r="C343" s="934" t="s">
        <v>75</v>
      </c>
      <c r="D343" s="934" t="s">
        <v>131</v>
      </c>
      <c r="E343" s="984" t="s">
        <v>1913</v>
      </c>
      <c r="F343" s="984"/>
      <c r="G343" s="984" t="e">
        <f>+VLOOKUP(Data_Validation!$A342,BV_Data_An_Cour!$M:$R,6,0)</f>
        <v>#N/A</v>
      </c>
      <c r="H343" s="159"/>
    </row>
    <row r="344" spans="1:8" ht="15" customHeight="1">
      <c r="A344" s="1108">
        <v>6151</v>
      </c>
      <c r="B344" s="163" t="s">
        <v>1283</v>
      </c>
      <c r="C344" s="934" t="s">
        <v>75</v>
      </c>
      <c r="D344" s="934" t="s">
        <v>124</v>
      </c>
      <c r="E344" s="984" t="s">
        <v>1913</v>
      </c>
      <c r="F344" s="984"/>
      <c r="G344" s="984" t="e">
        <f>+VLOOKUP(Data_Validation!$A343,BV_Data_An_Cour!$M:$R,6,0)</f>
        <v>#N/A</v>
      </c>
      <c r="H344" s="159"/>
    </row>
    <row r="345" spans="1:8" ht="15" customHeight="1">
      <c r="A345" s="1102">
        <v>6152</v>
      </c>
      <c r="B345" s="163" t="s">
        <v>1203</v>
      </c>
      <c r="C345" s="934" t="s">
        <v>75</v>
      </c>
      <c r="D345" s="934" t="s">
        <v>129</v>
      </c>
      <c r="E345" s="984" t="s">
        <v>1913</v>
      </c>
      <c r="F345" s="984"/>
      <c r="G345" s="984" t="e">
        <f>+VLOOKUP(Data_Validation!$A344,BV_Data_An_Cour!$M:$R,6,0)</f>
        <v>#N/A</v>
      </c>
      <c r="H345" s="159"/>
    </row>
    <row r="346" spans="1:8" ht="15" customHeight="1">
      <c r="A346" s="1108">
        <v>6153</v>
      </c>
      <c r="B346" s="163" t="s">
        <v>1151</v>
      </c>
      <c r="C346" s="934" t="s">
        <v>75</v>
      </c>
      <c r="D346" s="934" t="s">
        <v>130</v>
      </c>
      <c r="E346" s="984" t="s">
        <v>1913</v>
      </c>
      <c r="F346" s="984"/>
      <c r="G346" s="984" t="e">
        <f>+VLOOKUP(Data_Validation!$A345,BV_Data_An_Cour!$M:$R,6,0)</f>
        <v>#N/A</v>
      </c>
      <c r="H346" s="159"/>
    </row>
    <row r="347" spans="1:8" ht="15" customHeight="1">
      <c r="A347" s="1102">
        <v>6155</v>
      </c>
      <c r="B347" s="163" t="s">
        <v>1234</v>
      </c>
      <c r="C347" s="934" t="s">
        <v>75</v>
      </c>
      <c r="D347" s="934" t="s">
        <v>132</v>
      </c>
      <c r="E347" s="984" t="s">
        <v>1913</v>
      </c>
      <c r="F347" s="984"/>
      <c r="G347" s="984" t="e">
        <f>+VLOOKUP(Data_Validation!$A346,BV_Data_An_Cour!$M:$R,6,0)</f>
        <v>#N/A</v>
      </c>
      <c r="H347" s="159"/>
    </row>
    <row r="348" spans="1:8" ht="15" customHeight="1">
      <c r="A348" s="1108">
        <v>6156</v>
      </c>
      <c r="B348" s="163" t="s">
        <v>1312</v>
      </c>
      <c r="C348" s="934" t="s">
        <v>75</v>
      </c>
      <c r="D348" s="934" t="s">
        <v>125</v>
      </c>
      <c r="E348" s="984" t="s">
        <v>1913</v>
      </c>
      <c r="F348" s="984"/>
      <c r="G348" s="984" t="e">
        <f>+VLOOKUP(Data_Validation!$A347,BV_Data_An_Cour!$M:$R,6,0)</f>
        <v>#N/A</v>
      </c>
      <c r="H348" s="159"/>
    </row>
    <row r="349" spans="1:8" ht="15" customHeight="1">
      <c r="A349" s="1102">
        <v>6159</v>
      </c>
      <c r="B349" s="165" t="s">
        <v>1305</v>
      </c>
      <c r="C349" s="934" t="s">
        <v>75</v>
      </c>
      <c r="D349" s="934" t="s">
        <v>126</v>
      </c>
      <c r="E349" s="984" t="s">
        <v>1913</v>
      </c>
      <c r="F349" s="984"/>
      <c r="G349" s="984" t="e">
        <f>+VLOOKUP(Data_Validation!$A348,BV_Data_An_Cour!$M:$R,6,0)</f>
        <v>#N/A</v>
      </c>
      <c r="H349" s="159"/>
    </row>
    <row r="350" spans="1:8" ht="15" customHeight="1">
      <c r="A350" s="1102">
        <v>6161</v>
      </c>
      <c r="B350" s="165" t="s">
        <v>1330</v>
      </c>
      <c r="C350" s="934" t="s">
        <v>75</v>
      </c>
      <c r="D350" s="934" t="s">
        <v>260</v>
      </c>
      <c r="E350" s="984" t="s">
        <v>1913</v>
      </c>
      <c r="F350" s="984"/>
      <c r="G350" s="984" t="e">
        <f>+VLOOKUP(Data_Validation!$A349,BV_Data_An_Cour!$M:$R,6,0)</f>
        <v>#N/A</v>
      </c>
      <c r="H350" s="159"/>
    </row>
    <row r="351" spans="1:8" s="564" customFormat="1" ht="15" customHeight="1">
      <c r="A351" s="1102">
        <v>6162</v>
      </c>
      <c r="B351" s="165" t="s">
        <v>933</v>
      </c>
      <c r="C351" s="934" t="s">
        <v>75</v>
      </c>
      <c r="D351" s="934" t="s">
        <v>250</v>
      </c>
      <c r="E351" s="984" t="s">
        <v>1913</v>
      </c>
      <c r="F351" s="984"/>
      <c r="G351" s="984" t="e">
        <f>+VLOOKUP(Data_Validation!$A350,BV_Data_An_Cour!$M:$R,6,0)</f>
        <v>#N/A</v>
      </c>
      <c r="H351" s="159"/>
    </row>
    <row r="352" spans="1:8" s="564" customFormat="1" ht="15" customHeight="1">
      <c r="A352" s="1102">
        <v>6181</v>
      </c>
      <c r="B352" s="165" t="s">
        <v>1329</v>
      </c>
      <c r="C352" s="934" t="s">
        <v>75</v>
      </c>
      <c r="D352" s="934" t="s">
        <v>244</v>
      </c>
      <c r="E352" s="984" t="s">
        <v>1913</v>
      </c>
      <c r="F352" s="984"/>
      <c r="G352" s="984" t="e">
        <f>+VLOOKUP(Data_Validation!$A351,BV_Data_An_Cour!$M:$R,6,0)</f>
        <v>#N/A</v>
      </c>
      <c r="H352" s="159"/>
    </row>
    <row r="353" spans="1:8" s="564" customFormat="1" ht="15" customHeight="1">
      <c r="A353" s="1108">
        <v>6182</v>
      </c>
      <c r="B353" s="163" t="s">
        <v>1466</v>
      </c>
      <c r="C353" s="934" t="s">
        <v>75</v>
      </c>
      <c r="D353" s="934" t="s">
        <v>235</v>
      </c>
      <c r="E353" s="984" t="s">
        <v>1913</v>
      </c>
      <c r="F353" s="984"/>
      <c r="G353" s="984" t="e">
        <f>+VLOOKUP(Data_Validation!$A352,BV_Data_An_Cour!$M:$R,6,0)</f>
        <v>#N/A</v>
      </c>
      <c r="H353" s="159"/>
    </row>
    <row r="354" spans="1:8" s="564" customFormat="1" ht="15" customHeight="1">
      <c r="A354" s="1102">
        <v>6186</v>
      </c>
      <c r="B354" s="165" t="s">
        <v>1363</v>
      </c>
      <c r="C354" s="934" t="s">
        <v>75</v>
      </c>
      <c r="D354" s="934" t="s">
        <v>242</v>
      </c>
      <c r="E354" s="984" t="s">
        <v>1913</v>
      </c>
      <c r="F354" s="984"/>
      <c r="G354" s="984" t="e">
        <f>+VLOOKUP(Data_Validation!$A353,BV_Data_An_Cour!$M:$R,6,0)</f>
        <v>#N/A</v>
      </c>
      <c r="H354" s="159"/>
    </row>
    <row r="355" spans="1:8" s="564" customFormat="1" ht="15" customHeight="1">
      <c r="A355" s="1108">
        <v>6187</v>
      </c>
      <c r="B355" s="163" t="s">
        <v>1359</v>
      </c>
      <c r="C355" s="934" t="s">
        <v>75</v>
      </c>
      <c r="D355" s="934" t="s">
        <v>237</v>
      </c>
      <c r="E355" s="984" t="s">
        <v>1913</v>
      </c>
      <c r="F355" s="984"/>
      <c r="G355" s="984" t="e">
        <f>+VLOOKUP(Data_Validation!$A354,BV_Data_An_Cour!$M:$R,6,0)</f>
        <v>#N/A</v>
      </c>
      <c r="H355" s="159"/>
    </row>
    <row r="356" spans="1:8" ht="15" customHeight="1">
      <c r="A356" s="1102">
        <v>6193</v>
      </c>
      <c r="B356" s="163" t="s">
        <v>1293</v>
      </c>
      <c r="C356" s="934" t="s">
        <v>75</v>
      </c>
      <c r="D356" s="934" t="s">
        <v>239</v>
      </c>
      <c r="E356" s="984" t="s">
        <v>1913</v>
      </c>
      <c r="F356" s="984"/>
      <c r="G356" s="984" t="e">
        <f>+VLOOKUP(Data_Validation!$A355,BV_Data_An_Cour!$M:$R,6,0)</f>
        <v>#N/A</v>
      </c>
      <c r="H356" s="159"/>
    </row>
    <row r="357" spans="1:8" ht="15" customHeight="1">
      <c r="A357" s="1108">
        <v>6194</v>
      </c>
      <c r="B357" s="163" t="s">
        <v>1392</v>
      </c>
      <c r="C357" s="934" t="s">
        <v>75</v>
      </c>
      <c r="D357" s="934" t="s">
        <v>246</v>
      </c>
      <c r="E357" s="984" t="s">
        <v>1913</v>
      </c>
      <c r="F357" s="984"/>
      <c r="G357" s="984" t="e">
        <f>+VLOOKUP(Data_Validation!$A356,BV_Data_An_Cour!$M:$R,6,0)</f>
        <v>#N/A</v>
      </c>
      <c r="H357" s="159"/>
    </row>
    <row r="358" spans="1:8" ht="15" customHeight="1">
      <c r="A358" s="1108">
        <v>6195</v>
      </c>
      <c r="B358" s="163" t="s">
        <v>1894</v>
      </c>
      <c r="C358" s="934" t="s">
        <v>75</v>
      </c>
      <c r="D358" s="934" t="s">
        <v>252</v>
      </c>
      <c r="E358" s="984" t="s">
        <v>1913</v>
      </c>
      <c r="F358" s="984"/>
      <c r="G358" s="984" t="e">
        <f>+VLOOKUP(Data_Validation!$A357,BV_Data_An_Cour!$M:$R,6,0)</f>
        <v>#N/A</v>
      </c>
      <c r="H358" s="159"/>
    </row>
    <row r="359" spans="1:8" ht="15" customHeight="1">
      <c r="A359" s="1102">
        <v>6201</v>
      </c>
      <c r="B359" s="160" t="s">
        <v>1480</v>
      </c>
      <c r="C359" s="934" t="s">
        <v>144</v>
      </c>
      <c r="D359" s="934" t="s">
        <v>103</v>
      </c>
      <c r="E359" s="984" t="s">
        <v>1913</v>
      </c>
      <c r="F359" s="984"/>
      <c r="G359" s="984" t="e">
        <f>+VLOOKUP(Data_Validation!$A362,BV_Data_An_Cour!$M:$R,6,0)</f>
        <v>#N/A</v>
      </c>
      <c r="H359" s="159"/>
    </row>
    <row r="360" spans="1:8" ht="15" customHeight="1">
      <c r="A360" s="1102">
        <v>6202</v>
      </c>
      <c r="B360" s="160" t="s">
        <v>1439</v>
      </c>
      <c r="C360" s="934" t="s">
        <v>144</v>
      </c>
      <c r="D360" s="934" t="s">
        <v>104</v>
      </c>
      <c r="E360" s="984" t="s">
        <v>1913</v>
      </c>
      <c r="F360" s="984"/>
      <c r="G360" s="984" t="e">
        <f>+VLOOKUP(Data_Validation!$A363,BV_Data_An_Cour!$M:$R,6,0)</f>
        <v>#N/A</v>
      </c>
      <c r="H360" s="159"/>
    </row>
    <row r="361" spans="1:8" ht="15" customHeight="1">
      <c r="A361" s="1108">
        <v>6203</v>
      </c>
      <c r="B361" s="163" t="s">
        <v>1227</v>
      </c>
      <c r="C361" s="934" t="s">
        <v>144</v>
      </c>
      <c r="D361" s="934" t="s">
        <v>106</v>
      </c>
      <c r="E361" s="984" t="s">
        <v>1913</v>
      </c>
      <c r="F361" s="984"/>
      <c r="G361" s="984" t="e">
        <f>+VLOOKUP(Data_Validation!$A364,BV_Data_An_Cour!$M:$R,6,0)</f>
        <v>#N/A</v>
      </c>
      <c r="H361" s="159"/>
    </row>
    <row r="362" spans="1:8" ht="15" customHeight="1">
      <c r="A362" s="1102">
        <v>6206</v>
      </c>
      <c r="B362" s="160" t="s">
        <v>2748</v>
      </c>
      <c r="C362" s="934" t="s">
        <v>144</v>
      </c>
      <c r="D362" s="934" t="s">
        <v>107</v>
      </c>
      <c r="E362" s="984" t="s">
        <v>1913</v>
      </c>
      <c r="F362" s="984"/>
      <c r="G362" s="984" t="e">
        <f>+VLOOKUP(Data_Validation!$A365,BV_Data_An_Cour!$M:$R,6,0)</f>
        <v>#N/A</v>
      </c>
      <c r="H362" s="159"/>
    </row>
    <row r="363" spans="1:8" ht="15" customHeight="1">
      <c r="A363" s="1108">
        <v>6207</v>
      </c>
      <c r="B363" s="163" t="s">
        <v>935</v>
      </c>
      <c r="C363" s="934" t="s">
        <v>144</v>
      </c>
      <c r="D363" s="934" t="s">
        <v>109</v>
      </c>
      <c r="E363" s="984" t="s">
        <v>1913</v>
      </c>
      <c r="F363" s="984"/>
      <c r="G363" s="984" t="e">
        <f>+VLOOKUP(Data_Validation!$A366,BV_Data_An_Cour!$M:$R,6,0)</f>
        <v>#N/A</v>
      </c>
      <c r="H363" s="159"/>
    </row>
    <row r="364" spans="1:8" ht="15" customHeight="1">
      <c r="A364" s="1102">
        <v>6208</v>
      </c>
      <c r="B364" s="160" t="s">
        <v>1404</v>
      </c>
      <c r="C364" s="934" t="s">
        <v>144</v>
      </c>
      <c r="D364" s="934" t="s">
        <v>105</v>
      </c>
      <c r="E364" s="984" t="s">
        <v>1913</v>
      </c>
      <c r="F364" s="984"/>
      <c r="G364" s="984" t="e">
        <f>+VLOOKUP(Data_Validation!$A367,BV_Data_An_Cour!$M:$R,6,0)</f>
        <v>#N/A</v>
      </c>
      <c r="H364" s="159"/>
    </row>
    <row r="365" spans="1:8" ht="15" customHeight="1">
      <c r="A365" s="1102">
        <v>6214</v>
      </c>
      <c r="B365" s="160" t="s">
        <v>1371</v>
      </c>
      <c r="C365" s="934" t="s">
        <v>144</v>
      </c>
      <c r="D365" s="934" t="s">
        <v>108</v>
      </c>
      <c r="E365" s="984" t="s">
        <v>1913</v>
      </c>
      <c r="F365" s="984"/>
      <c r="G365" s="984" t="e">
        <f>+VLOOKUP(Data_Validation!$A368,BV_Data_An_Cour!$M:$R,6,0)</f>
        <v>#N/A</v>
      </c>
    </row>
    <row r="366" spans="1:8" ht="15" customHeight="1">
      <c r="A366" s="1108">
        <v>6215</v>
      </c>
      <c r="B366" s="163" t="s">
        <v>2141</v>
      </c>
      <c r="C366" s="934" t="s">
        <v>144</v>
      </c>
      <c r="D366" s="934" t="s">
        <v>108</v>
      </c>
      <c r="E366" s="984" t="s">
        <v>1913</v>
      </c>
      <c r="F366" s="984"/>
      <c r="G366" s="984" t="e">
        <f>+VLOOKUP(Data_Validation!$A369,BV_Data_An_Cour!$M:$R,6,0)</f>
        <v>#N/A</v>
      </c>
    </row>
    <row r="367" spans="1:8" ht="15" customHeight="1">
      <c r="A367" s="1108">
        <v>6221</v>
      </c>
      <c r="B367" s="160" t="s">
        <v>1256</v>
      </c>
      <c r="C367" s="934" t="s">
        <v>144</v>
      </c>
      <c r="D367" s="934" t="s">
        <v>213</v>
      </c>
      <c r="E367" s="984" t="s">
        <v>1913</v>
      </c>
      <c r="F367" s="984"/>
      <c r="G367" s="984" t="e">
        <f>+VLOOKUP(Data_Validation!$A370,BV_Data_An_Cour!$M:$R,6,0)</f>
        <v>#N/A</v>
      </c>
      <c r="H367" s="159"/>
    </row>
    <row r="368" spans="1:8" ht="15" customHeight="1">
      <c r="A368" s="1102">
        <v>6222</v>
      </c>
      <c r="B368" s="160" t="s">
        <v>2615</v>
      </c>
      <c r="C368" s="934" t="s">
        <v>144</v>
      </c>
      <c r="D368" s="934" t="s">
        <v>112</v>
      </c>
      <c r="E368" s="984" t="s">
        <v>1913</v>
      </c>
      <c r="F368" s="984"/>
      <c r="G368" s="984" t="e">
        <f>+VLOOKUP(Data_Validation!$A371,BV_Data_An_Cour!$M:$R,6,0)</f>
        <v>#N/A</v>
      </c>
      <c r="H368" s="159"/>
    </row>
    <row r="369" spans="1:8" ht="15" customHeight="1">
      <c r="A369" s="1102">
        <v>6223</v>
      </c>
      <c r="B369" s="160" t="s">
        <v>1339</v>
      </c>
      <c r="C369" s="934" t="s">
        <v>144</v>
      </c>
      <c r="D369" s="934" t="s">
        <v>113</v>
      </c>
      <c r="E369" s="984" t="s">
        <v>1913</v>
      </c>
      <c r="F369" s="984"/>
      <c r="G369" s="984" t="e">
        <f>+VLOOKUP(Data_Validation!$A372,BV_Data_An_Cour!$M:$R,6,0)</f>
        <v>#N/A</v>
      </c>
      <c r="H369" s="159"/>
    </row>
    <row r="370" spans="1:8" ht="15" customHeight="1">
      <c r="A370" s="1102">
        <v>6224</v>
      </c>
      <c r="B370" s="160" t="s">
        <v>1409</v>
      </c>
      <c r="C370" s="934" t="s">
        <v>144</v>
      </c>
      <c r="D370" s="934" t="s">
        <v>114</v>
      </c>
      <c r="E370" s="984" t="s">
        <v>1913</v>
      </c>
      <c r="F370" s="984"/>
      <c r="G370" s="984" t="e">
        <f>+VLOOKUP(Data_Validation!$A373,BV_Data_An_Cour!$M:$R,6,0)</f>
        <v>#N/A</v>
      </c>
      <c r="H370" s="159"/>
    </row>
    <row r="371" spans="1:8" ht="15" customHeight="1">
      <c r="A371" s="1102">
        <v>6229</v>
      </c>
      <c r="B371" s="160" t="s">
        <v>1208</v>
      </c>
      <c r="C371" s="934" t="s">
        <v>144</v>
      </c>
      <c r="D371" s="934" t="s">
        <v>116</v>
      </c>
      <c r="E371" s="984" t="s">
        <v>1913</v>
      </c>
      <c r="F371" s="984"/>
      <c r="G371" s="984" t="e">
        <f>+VLOOKUP(Data_Validation!$A374,BV_Data_An_Cour!$M:$R,6,0)</f>
        <v>#N/A</v>
      </c>
      <c r="H371" s="159"/>
    </row>
    <row r="372" spans="1:8" ht="15" customHeight="1">
      <c r="A372" s="1102">
        <v>6231</v>
      </c>
      <c r="B372" s="160" t="s">
        <v>1249</v>
      </c>
      <c r="C372" s="934" t="s">
        <v>144</v>
      </c>
      <c r="D372" s="934" t="s">
        <v>119</v>
      </c>
      <c r="E372" s="984" t="s">
        <v>1913</v>
      </c>
      <c r="F372" s="984"/>
      <c r="G372" s="984" t="e">
        <f>+VLOOKUP(Data_Validation!$A375,BV_Data_An_Cour!$M:$R,6,0)</f>
        <v>#N/A</v>
      </c>
      <c r="H372" s="159"/>
    </row>
    <row r="373" spans="1:8" ht="15" customHeight="1">
      <c r="A373" s="1102">
        <v>6232</v>
      </c>
      <c r="B373" s="160" t="s">
        <v>1280</v>
      </c>
      <c r="C373" s="934" t="s">
        <v>144</v>
      </c>
      <c r="D373" s="934" t="s">
        <v>117</v>
      </c>
      <c r="E373" s="984" t="s">
        <v>1913</v>
      </c>
      <c r="F373" s="984"/>
      <c r="G373" s="984" t="e">
        <f>+VLOOKUP(Data_Validation!$A376,BV_Data_An_Cour!$M:$R,6,0)</f>
        <v>#N/A</v>
      </c>
      <c r="H373" s="159"/>
    </row>
    <row r="374" spans="1:8" ht="15" customHeight="1">
      <c r="A374" s="1102">
        <v>6239</v>
      </c>
      <c r="B374" s="160" t="s">
        <v>1302</v>
      </c>
      <c r="C374" s="934" t="s">
        <v>144</v>
      </c>
      <c r="D374" s="934" t="s">
        <v>118</v>
      </c>
      <c r="E374" s="984" t="s">
        <v>1913</v>
      </c>
      <c r="F374" s="984"/>
      <c r="G374" s="984" t="e">
        <f>+VLOOKUP(Data_Validation!$A377,BV_Data_An_Cour!$M:$R,6,0)</f>
        <v>#N/A</v>
      </c>
      <c r="H374" s="159"/>
    </row>
    <row r="375" spans="1:8" ht="15" customHeight="1">
      <c r="A375" s="1102">
        <v>6242</v>
      </c>
      <c r="B375" s="160" t="s">
        <v>1154</v>
      </c>
      <c r="C375" s="934" t="s">
        <v>144</v>
      </c>
      <c r="D375" s="934" t="s">
        <v>127</v>
      </c>
      <c r="E375" s="984" t="s">
        <v>1913</v>
      </c>
      <c r="F375" s="984"/>
      <c r="G375" s="984" t="e">
        <f>+VLOOKUP(Data_Validation!$A378,BV_Data_An_Cour!$M:$R,6,0)</f>
        <v>#N/A</v>
      </c>
      <c r="H375" s="159"/>
    </row>
    <row r="376" spans="1:8" ht="15" customHeight="1">
      <c r="A376" s="1102">
        <v>6243</v>
      </c>
      <c r="B376" s="160" t="s">
        <v>929</v>
      </c>
      <c r="C376" s="934" t="s">
        <v>144</v>
      </c>
      <c r="D376" s="934" t="s">
        <v>128</v>
      </c>
      <c r="E376" s="984" t="s">
        <v>1913</v>
      </c>
      <c r="F376" s="984"/>
      <c r="G376" s="984" t="e">
        <f>+VLOOKUP(Data_Validation!$A379,BV_Data_An_Cour!$M:$R,6,0)</f>
        <v>#N/A</v>
      </c>
      <c r="H376" s="159"/>
    </row>
    <row r="377" spans="1:8" ht="15" customHeight="1">
      <c r="A377" s="1108">
        <v>6244</v>
      </c>
      <c r="B377" s="163" t="s">
        <v>931</v>
      </c>
      <c r="C377" s="934" t="s">
        <v>144</v>
      </c>
      <c r="D377" s="934" t="s">
        <v>133</v>
      </c>
      <c r="E377" s="984" t="s">
        <v>1913</v>
      </c>
      <c r="F377" s="984"/>
      <c r="G377" s="984" t="e">
        <f>+VLOOKUP(Data_Validation!$A380,BV_Data_An_Cour!$M:$R,6,0)</f>
        <v>#N/A</v>
      </c>
      <c r="H377" s="159"/>
    </row>
    <row r="378" spans="1:8" ht="15" customHeight="1">
      <c r="A378" s="1102">
        <v>6245</v>
      </c>
      <c r="B378" s="160" t="s">
        <v>1183</v>
      </c>
      <c r="C378" s="934" t="s">
        <v>144</v>
      </c>
      <c r="D378" s="934" t="s">
        <v>123</v>
      </c>
      <c r="E378" s="984" t="s">
        <v>1913</v>
      </c>
      <c r="F378" s="984"/>
      <c r="G378" s="984" t="e">
        <f>+VLOOKUP(Data_Validation!$A381,BV_Data_An_Cour!$M:$R,6,0)</f>
        <v>#N/A</v>
      </c>
      <c r="H378" s="159"/>
    </row>
    <row r="379" spans="1:8" ht="15" customHeight="1">
      <c r="A379" s="1108">
        <v>6247</v>
      </c>
      <c r="B379" s="163" t="s">
        <v>1177</v>
      </c>
      <c r="C379" s="934" t="s">
        <v>144</v>
      </c>
      <c r="D379" s="934" t="s">
        <v>131</v>
      </c>
      <c r="E379" s="984" t="s">
        <v>1913</v>
      </c>
      <c r="F379" s="987"/>
      <c r="G379" s="987" t="e">
        <f>+VLOOKUP(Data_Validation!$A382,BV_Data_An_Cour!$M:$R,6,0)</f>
        <v>#N/A</v>
      </c>
      <c r="H379" s="159"/>
    </row>
    <row r="380" spans="1:8" ht="15" customHeight="1">
      <c r="A380" s="1102">
        <v>6251</v>
      </c>
      <c r="B380" s="160" t="s">
        <v>1283</v>
      </c>
      <c r="C380" s="934" t="s">
        <v>144</v>
      </c>
      <c r="D380" s="934" t="s">
        <v>124</v>
      </c>
      <c r="E380" s="984" t="s">
        <v>1913</v>
      </c>
      <c r="F380" s="984"/>
      <c r="G380" s="984" t="e">
        <f>+VLOOKUP(Data_Validation!$A383,BV_Data_An_Cour!$M:$R,6,0)</f>
        <v>#N/A</v>
      </c>
      <c r="H380" s="159"/>
    </row>
    <row r="381" spans="1:8" ht="15" customHeight="1">
      <c r="A381" s="1108">
        <v>6252</v>
      </c>
      <c r="B381" s="163" t="s">
        <v>1203</v>
      </c>
      <c r="C381" s="934" t="s">
        <v>144</v>
      </c>
      <c r="D381" s="934" t="s">
        <v>129</v>
      </c>
      <c r="E381" s="984" t="s">
        <v>1913</v>
      </c>
      <c r="F381" s="984"/>
      <c r="G381" s="984" t="e">
        <f>+VLOOKUP(Data_Validation!$A384,BV_Data_An_Cour!$M:$R,6,0)</f>
        <v>#N/A</v>
      </c>
      <c r="H381" s="159"/>
    </row>
    <row r="382" spans="1:8" ht="15" customHeight="1">
      <c r="A382" s="1102">
        <v>6253</v>
      </c>
      <c r="B382" s="160" t="s">
        <v>1151</v>
      </c>
      <c r="C382" s="934" t="s">
        <v>144</v>
      </c>
      <c r="D382" s="934" t="s">
        <v>130</v>
      </c>
      <c r="E382" s="984" t="s">
        <v>1913</v>
      </c>
      <c r="F382" s="984"/>
      <c r="G382" s="984" t="e">
        <f>+VLOOKUP(Data_Validation!$A385,BV_Data_An_Cour!$M:$R,6,0)</f>
        <v>#N/A</v>
      </c>
      <c r="H382" s="159"/>
    </row>
    <row r="383" spans="1:8" ht="15" customHeight="1">
      <c r="A383" s="1102">
        <v>6255</v>
      </c>
      <c r="B383" s="163" t="s">
        <v>1234</v>
      </c>
      <c r="C383" s="934" t="s">
        <v>144</v>
      </c>
      <c r="D383" s="934" t="s">
        <v>132</v>
      </c>
      <c r="E383" s="984" t="s">
        <v>1913</v>
      </c>
      <c r="F383" s="984"/>
      <c r="G383" s="984" t="e">
        <f>+VLOOKUP(Data_Validation!$A386,BV_Data_An_Cour!$M:$R,6,0)</f>
        <v>#N/A</v>
      </c>
      <c r="H383" s="159"/>
    </row>
    <row r="384" spans="1:8" ht="15" customHeight="1">
      <c r="A384" s="1102">
        <v>6256</v>
      </c>
      <c r="B384" s="160" t="s">
        <v>1244</v>
      </c>
      <c r="C384" s="934" t="s">
        <v>144</v>
      </c>
      <c r="D384" s="934" t="s">
        <v>125</v>
      </c>
      <c r="E384" s="984" t="s">
        <v>1913</v>
      </c>
      <c r="F384" s="984"/>
      <c r="G384" s="984" t="e">
        <f>+VLOOKUP(Data_Validation!$A387,BV_Data_An_Cour!$M:$R,6,0)</f>
        <v>#N/A</v>
      </c>
      <c r="H384" s="159"/>
    </row>
    <row r="385" spans="1:12" ht="15" customHeight="1">
      <c r="A385" s="1102">
        <v>6259</v>
      </c>
      <c r="B385" s="163" t="s">
        <v>1305</v>
      </c>
      <c r="C385" s="934" t="s">
        <v>144</v>
      </c>
      <c r="D385" s="934" t="s">
        <v>126</v>
      </c>
      <c r="E385" s="984" t="s">
        <v>1913</v>
      </c>
      <c r="F385" s="987"/>
      <c r="G385" s="987" t="e">
        <f>+VLOOKUP(Data_Validation!$A388,BV_Data_An_Cour!$M:$R,6,0)</f>
        <v>#N/A</v>
      </c>
      <c r="H385" s="159"/>
    </row>
    <row r="386" spans="1:12" ht="15" customHeight="1">
      <c r="A386" s="1102">
        <v>6261</v>
      </c>
      <c r="B386" s="160" t="s">
        <v>1330</v>
      </c>
      <c r="C386" s="934" t="s">
        <v>144</v>
      </c>
      <c r="D386" s="934" t="s">
        <v>260</v>
      </c>
      <c r="E386" s="984" t="s">
        <v>1913</v>
      </c>
      <c r="F386" s="984"/>
      <c r="G386" s="984" t="e">
        <f>+VLOOKUP(Data_Validation!$A389,BV_Data_An_Cour!$M:$R,6,0)</f>
        <v>#N/A</v>
      </c>
      <c r="H386" s="159"/>
    </row>
    <row r="387" spans="1:12" ht="15" customHeight="1">
      <c r="A387" s="1102">
        <v>6262</v>
      </c>
      <c r="B387" s="160" t="s">
        <v>933</v>
      </c>
      <c r="C387" s="934" t="s">
        <v>144</v>
      </c>
      <c r="D387" s="934" t="s">
        <v>250</v>
      </c>
      <c r="E387" s="984" t="s">
        <v>1913</v>
      </c>
      <c r="F387" s="984"/>
      <c r="G387" s="984" t="e">
        <f>+VLOOKUP(Data_Validation!$A390,BV_Data_An_Cour!$M:$R,6,0)</f>
        <v>#N/A</v>
      </c>
      <c r="H387" s="159"/>
    </row>
    <row r="388" spans="1:12" ht="15" customHeight="1">
      <c r="A388" s="1102">
        <v>6281</v>
      </c>
      <c r="B388" s="163" t="s">
        <v>1377</v>
      </c>
      <c r="C388" s="934" t="s">
        <v>144</v>
      </c>
      <c r="D388" s="934" t="s">
        <v>244</v>
      </c>
      <c r="E388" s="984" t="s">
        <v>1913</v>
      </c>
      <c r="F388" s="984"/>
      <c r="G388" s="984" t="e">
        <f>+VLOOKUP(Data_Validation!$A391,BV_Data_An_Cour!$M:$R,6,0)</f>
        <v>#N/A</v>
      </c>
      <c r="H388" s="159"/>
    </row>
    <row r="389" spans="1:12" ht="15" customHeight="1">
      <c r="A389" s="1102">
        <v>6282</v>
      </c>
      <c r="B389" s="160" t="s">
        <v>1459</v>
      </c>
      <c r="C389" s="934" t="s">
        <v>144</v>
      </c>
      <c r="D389" s="934" t="s">
        <v>235</v>
      </c>
      <c r="E389" s="984" t="s">
        <v>1913</v>
      </c>
      <c r="F389" s="984"/>
      <c r="G389" s="984" t="e">
        <f>+VLOOKUP(Data_Validation!$A392,BV_Data_An_Cour!$M:$R,6,0)</f>
        <v>#N/A</v>
      </c>
      <c r="H389" s="159"/>
    </row>
    <row r="390" spans="1:12" ht="15" customHeight="1">
      <c r="A390" s="1102">
        <v>6286</v>
      </c>
      <c r="B390" s="160" t="s">
        <v>1287</v>
      </c>
      <c r="C390" s="934" t="s">
        <v>144</v>
      </c>
      <c r="D390" s="934" t="s">
        <v>242</v>
      </c>
      <c r="E390" s="984" t="s">
        <v>1913</v>
      </c>
      <c r="F390" s="984"/>
      <c r="G390" s="984" t="e">
        <f>+VLOOKUP(Data_Validation!$A393,BV_Data_An_Cour!$M:$R,6,0)</f>
        <v>#N/A</v>
      </c>
      <c r="H390" s="159"/>
    </row>
    <row r="391" spans="1:12" ht="15" customHeight="1">
      <c r="A391" s="1102">
        <v>6287</v>
      </c>
      <c r="B391" s="163" t="s">
        <v>1200</v>
      </c>
      <c r="C391" s="934" t="s">
        <v>144</v>
      </c>
      <c r="D391" s="934" t="s">
        <v>237</v>
      </c>
      <c r="E391" s="984" t="s">
        <v>1913</v>
      </c>
      <c r="F391" s="984"/>
      <c r="G391" s="984" t="e">
        <f>+VLOOKUP(Data_Validation!$A394,BV_Data_An_Cour!$M:$R,6,0)</f>
        <v>#N/A</v>
      </c>
      <c r="H391" s="159"/>
    </row>
    <row r="392" spans="1:12" ht="15" customHeight="1">
      <c r="A392" s="1102">
        <v>6293</v>
      </c>
      <c r="B392" s="160" t="s">
        <v>1390</v>
      </c>
      <c r="C392" s="934" t="s">
        <v>144</v>
      </c>
      <c r="D392" s="934" t="s">
        <v>239</v>
      </c>
      <c r="E392" s="984" t="s">
        <v>1913</v>
      </c>
      <c r="F392" s="984"/>
      <c r="G392" s="984" t="e">
        <f>+VLOOKUP(Data_Validation!$A395,BV_Data_An_Cour!$M:$R,6,0)</f>
        <v>#N/A</v>
      </c>
      <c r="H392" s="159"/>
    </row>
    <row r="393" spans="1:12" ht="15" customHeight="1">
      <c r="A393" s="1102">
        <v>6294</v>
      </c>
      <c r="B393" s="163" t="s">
        <v>1315</v>
      </c>
      <c r="C393" s="934" t="s">
        <v>144</v>
      </c>
      <c r="D393" s="934" t="s">
        <v>246</v>
      </c>
      <c r="E393" s="984" t="s">
        <v>1913</v>
      </c>
      <c r="F393" s="984"/>
      <c r="G393" s="984" t="e">
        <f>+VLOOKUP(Data_Validation!$A396,BV_Data_An_Cour!$M:$R,6,0)</f>
        <v>#N/A</v>
      </c>
      <c r="H393" s="159"/>
    </row>
    <row r="394" spans="1:12" ht="15" customHeight="1">
      <c r="A394" s="1108">
        <v>6295</v>
      </c>
      <c r="B394" s="163" t="s">
        <v>1896</v>
      </c>
      <c r="C394" s="934" t="s">
        <v>144</v>
      </c>
      <c r="D394" s="934" t="s">
        <v>252</v>
      </c>
      <c r="E394" s="984" t="s">
        <v>1913</v>
      </c>
      <c r="F394" s="984"/>
      <c r="G394" s="984" t="e">
        <f>+VLOOKUP(Data_Validation!$A358,BV_Data_An_Cour!$M:$R,6,0)</f>
        <v>#N/A</v>
      </c>
      <c r="H394" s="159"/>
      <c r="L394" s="2"/>
    </row>
    <row r="395" spans="1:12" ht="15" customHeight="1">
      <c r="A395" s="1102">
        <v>6403</v>
      </c>
      <c r="B395" s="160" t="s">
        <v>1400</v>
      </c>
      <c r="C395" s="934" t="s">
        <v>155</v>
      </c>
      <c r="D395" s="934" t="s">
        <v>122</v>
      </c>
      <c r="E395" s="984" t="s">
        <v>1913</v>
      </c>
      <c r="F395" s="984"/>
      <c r="G395" s="984" t="e">
        <f>+VLOOKUP(Data_Validation!$A397,BV_Data_An_Cour!$M:$R,6,0)</f>
        <v>#N/A</v>
      </c>
      <c r="H395" s="159"/>
    </row>
    <row r="396" spans="1:12" ht="15" customHeight="1">
      <c r="A396" s="1108">
        <v>6412</v>
      </c>
      <c r="B396" s="163" t="s">
        <v>1447</v>
      </c>
      <c r="C396" s="934" t="s">
        <v>155</v>
      </c>
      <c r="D396" s="934" t="s">
        <v>122</v>
      </c>
      <c r="E396" s="984" t="s">
        <v>1913</v>
      </c>
      <c r="F396" s="984"/>
      <c r="G396" s="984" t="e">
        <f>+VLOOKUP(Data_Validation!$A398,BV_Data_An_Cour!$M:$R,6,0)</f>
        <v>#N/A</v>
      </c>
      <c r="H396" s="159"/>
    </row>
    <row r="397" spans="1:12" ht="15" customHeight="1">
      <c r="A397" s="1102">
        <v>6414</v>
      </c>
      <c r="B397" s="160" t="s">
        <v>1371</v>
      </c>
      <c r="C397" s="934" t="s">
        <v>155</v>
      </c>
      <c r="D397" s="934" t="s">
        <v>121</v>
      </c>
      <c r="E397" s="984" t="s">
        <v>1913</v>
      </c>
      <c r="F397" s="984"/>
      <c r="G397" s="984" t="e">
        <f>+VLOOKUP(Data_Validation!$A399,BV_Data_An_Cour!$M:$R,6,0)</f>
        <v>#N/A</v>
      </c>
      <c r="H397" s="159"/>
    </row>
    <row r="398" spans="1:12" ht="15" customHeight="1">
      <c r="A398" s="1108">
        <v>6421</v>
      </c>
      <c r="B398" s="163" t="s">
        <v>1256</v>
      </c>
      <c r="C398" s="934" t="s">
        <v>155</v>
      </c>
      <c r="D398" s="934" t="s">
        <v>213</v>
      </c>
      <c r="E398" s="984" t="s">
        <v>1913</v>
      </c>
      <c r="F398" s="984"/>
      <c r="G398" s="984" t="e">
        <f>+VLOOKUP(Data_Validation!$A400,BV_Data_An_Cour!$M:$R,6,0)</f>
        <v>#N/A</v>
      </c>
      <c r="H398" s="159"/>
    </row>
    <row r="399" spans="1:12" ht="15" customHeight="1">
      <c r="A399" s="1102">
        <v>6422</v>
      </c>
      <c r="B399" s="160" t="s">
        <v>2615</v>
      </c>
      <c r="C399" s="934" t="s">
        <v>155</v>
      </c>
      <c r="D399" s="934" t="s">
        <v>112</v>
      </c>
      <c r="E399" s="984" t="s">
        <v>1913</v>
      </c>
      <c r="F399" s="984"/>
      <c r="G399" s="984" t="e">
        <f>+VLOOKUP(Data_Validation!$A401,BV_Data_An_Cour!$M:$R,6,0)</f>
        <v>#N/A</v>
      </c>
      <c r="H399" s="159"/>
    </row>
    <row r="400" spans="1:12" ht="15" customHeight="1">
      <c r="A400" s="1108">
        <v>6423</v>
      </c>
      <c r="B400" s="163" t="s">
        <v>1263</v>
      </c>
      <c r="C400" s="934" t="s">
        <v>155</v>
      </c>
      <c r="D400" s="934" t="s">
        <v>113</v>
      </c>
      <c r="E400" s="984" t="s">
        <v>1913</v>
      </c>
      <c r="F400" s="984"/>
      <c r="G400" s="984" t="e">
        <f>+VLOOKUP(Data_Validation!$A402,BV_Data_An_Cour!$M:$R,6,0)</f>
        <v>#N/A</v>
      </c>
      <c r="H400" s="159"/>
    </row>
    <row r="401" spans="1:8" ht="15" customHeight="1">
      <c r="A401" s="1102">
        <v>6424</v>
      </c>
      <c r="B401" s="160" t="s">
        <v>1246</v>
      </c>
      <c r="C401" s="934" t="s">
        <v>155</v>
      </c>
      <c r="D401" s="934" t="s">
        <v>114</v>
      </c>
      <c r="E401" s="984" t="s">
        <v>1913</v>
      </c>
      <c r="F401" s="984"/>
      <c r="G401" s="984" t="e">
        <f>+VLOOKUP(Data_Validation!$A403,BV_Data_An_Cour!$M:$R,6,0)</f>
        <v>#N/A</v>
      </c>
      <c r="H401" s="159"/>
    </row>
    <row r="402" spans="1:8" ht="15" customHeight="1">
      <c r="A402" s="1108">
        <v>6425</v>
      </c>
      <c r="B402" s="163" t="s">
        <v>1327</v>
      </c>
      <c r="C402" s="934" t="s">
        <v>155</v>
      </c>
      <c r="D402" s="934" t="s">
        <v>115</v>
      </c>
      <c r="E402" s="984" t="s">
        <v>1913</v>
      </c>
      <c r="F402" s="984"/>
      <c r="G402" s="984" t="e">
        <f>+VLOOKUP(Data_Validation!$A404,BV_Data_An_Cour!$M:$R,6,0)</f>
        <v>#N/A</v>
      </c>
      <c r="H402" s="159"/>
    </row>
    <row r="403" spans="1:8" ht="15" customHeight="1">
      <c r="A403" s="1102">
        <v>6429</v>
      </c>
      <c r="B403" s="160" t="s">
        <v>1445</v>
      </c>
      <c r="C403" s="934" t="s">
        <v>155</v>
      </c>
      <c r="D403" s="934" t="s">
        <v>116</v>
      </c>
      <c r="E403" s="984" t="s">
        <v>1913</v>
      </c>
      <c r="F403" s="984"/>
      <c r="G403" s="984" t="e">
        <f>+VLOOKUP(Data_Validation!$A405,BV_Data_An_Cour!$M:$R,6,0)</f>
        <v>#N/A</v>
      </c>
      <c r="H403" s="159"/>
    </row>
    <row r="404" spans="1:8" ht="15" customHeight="1">
      <c r="A404" s="1108">
        <v>6431</v>
      </c>
      <c r="B404" s="163" t="s">
        <v>1249</v>
      </c>
      <c r="C404" s="934" t="s">
        <v>155</v>
      </c>
      <c r="D404" s="934" t="s">
        <v>119</v>
      </c>
      <c r="E404" s="984" t="s">
        <v>1913</v>
      </c>
      <c r="F404" s="984"/>
      <c r="G404" s="984" t="e">
        <f>+VLOOKUP(Data_Validation!$A406,BV_Data_An_Cour!$M:$R,6,0)</f>
        <v>#N/A</v>
      </c>
      <c r="H404" s="159"/>
    </row>
    <row r="405" spans="1:8" ht="15" customHeight="1">
      <c r="A405" s="1102">
        <v>6432</v>
      </c>
      <c r="B405" s="160" t="s">
        <v>1280</v>
      </c>
      <c r="C405" s="934" t="s">
        <v>155</v>
      </c>
      <c r="D405" s="934" t="s">
        <v>117</v>
      </c>
      <c r="E405" s="984" t="s">
        <v>1913</v>
      </c>
      <c r="F405" s="984"/>
      <c r="G405" s="984" t="e">
        <f>+VLOOKUP(Data_Validation!$A407,BV_Data_An_Cour!$M:$R,6,0)</f>
        <v>#N/A</v>
      </c>
      <c r="H405" s="159"/>
    </row>
    <row r="406" spans="1:8" ht="15" customHeight="1">
      <c r="A406" s="1108">
        <v>6433</v>
      </c>
      <c r="B406" s="163" t="s">
        <v>1217</v>
      </c>
      <c r="C406" s="934" t="s">
        <v>155</v>
      </c>
      <c r="D406" s="934" t="s">
        <v>118</v>
      </c>
      <c r="E406" s="984" t="s">
        <v>1913</v>
      </c>
      <c r="F406" s="984"/>
      <c r="G406" s="984" t="e">
        <f>+VLOOKUP(Data_Validation!$A408,BV_Data_An_Cour!$M:$R,6,0)</f>
        <v>#N/A</v>
      </c>
      <c r="H406" s="159"/>
    </row>
    <row r="407" spans="1:8" ht="15" customHeight="1">
      <c r="A407" s="1102">
        <v>6439</v>
      </c>
      <c r="B407" s="160" t="s">
        <v>1302</v>
      </c>
      <c r="C407" s="934" t="s">
        <v>155</v>
      </c>
      <c r="D407" s="934" t="s">
        <v>118</v>
      </c>
      <c r="E407" s="984" t="s">
        <v>1913</v>
      </c>
      <c r="F407" s="984"/>
      <c r="G407" s="984" t="e">
        <f>+VLOOKUP(Data_Validation!$A409,BV_Data_An_Cour!$M:$R,6,0)</f>
        <v>#N/A</v>
      </c>
      <c r="H407" s="159"/>
    </row>
    <row r="408" spans="1:8" ht="15" customHeight="1">
      <c r="A408" s="1102">
        <v>6441</v>
      </c>
      <c r="B408" s="160" t="s">
        <v>1175</v>
      </c>
      <c r="C408" s="934" t="s">
        <v>155</v>
      </c>
      <c r="D408" s="934" t="s">
        <v>122</v>
      </c>
      <c r="E408" s="984" t="s">
        <v>1913</v>
      </c>
      <c r="F408" s="984"/>
      <c r="G408" s="984" t="e">
        <f>+VLOOKUP(Data_Validation!$A410,BV_Data_An_Cour!$M:$R,6,0)</f>
        <v>#N/A</v>
      </c>
      <c r="H408" s="159"/>
    </row>
    <row r="409" spans="1:8" ht="15" customHeight="1">
      <c r="A409" s="1102">
        <v>6442</v>
      </c>
      <c r="B409" s="160" t="s">
        <v>1154</v>
      </c>
      <c r="C409" s="934" t="s">
        <v>155</v>
      </c>
      <c r="D409" s="934" t="s">
        <v>127</v>
      </c>
      <c r="E409" s="984" t="s">
        <v>1913</v>
      </c>
      <c r="F409" s="984"/>
      <c r="G409" s="984" t="e">
        <f>+VLOOKUP(Data_Validation!$A411,BV_Data_An_Cour!$M:$R,6,0)</f>
        <v>#N/A</v>
      </c>
      <c r="H409" s="159"/>
    </row>
    <row r="410" spans="1:8" ht="15" customHeight="1">
      <c r="A410" s="1108">
        <v>6443</v>
      </c>
      <c r="B410" s="163" t="s">
        <v>929</v>
      </c>
      <c r="C410" s="934" t="s">
        <v>155</v>
      </c>
      <c r="D410" s="934" t="s">
        <v>128</v>
      </c>
      <c r="E410" s="984" t="s">
        <v>1913</v>
      </c>
      <c r="F410" s="984"/>
      <c r="G410" s="984" t="e">
        <f>+VLOOKUP(Data_Validation!$A412,BV_Data_An_Cour!$M:$R,6,0)</f>
        <v>#N/A</v>
      </c>
      <c r="H410" s="159"/>
    </row>
    <row r="411" spans="1:8" ht="15" customHeight="1">
      <c r="A411" s="1102">
        <v>6444</v>
      </c>
      <c r="B411" s="160" t="s">
        <v>931</v>
      </c>
      <c r="C411" s="934" t="s">
        <v>155</v>
      </c>
      <c r="D411" s="934" t="s">
        <v>133</v>
      </c>
      <c r="E411" s="984" t="s">
        <v>1913</v>
      </c>
      <c r="F411" s="984"/>
      <c r="G411" s="984" t="e">
        <f>+VLOOKUP(Data_Validation!$A413,BV_Data_An_Cour!$M:$R,6,0)</f>
        <v>#N/A</v>
      </c>
      <c r="H411" s="159"/>
    </row>
    <row r="412" spans="1:8" ht="15" customHeight="1">
      <c r="A412" s="1108">
        <v>6445</v>
      </c>
      <c r="B412" s="163" t="s">
        <v>1524</v>
      </c>
      <c r="C412" s="934" t="s">
        <v>155</v>
      </c>
      <c r="D412" s="934" t="s">
        <v>123</v>
      </c>
      <c r="E412" s="984" t="s">
        <v>1913</v>
      </c>
      <c r="F412" s="984"/>
      <c r="G412" s="984" t="e">
        <f>+VLOOKUP(Data_Validation!$A414,BV_Data_An_Cour!$M:$R,6,0)</f>
        <v>#N/A</v>
      </c>
      <c r="H412" s="159"/>
    </row>
    <row r="413" spans="1:8" ht="15" customHeight="1">
      <c r="A413" s="1102">
        <v>6447</v>
      </c>
      <c r="B413" s="160" t="s">
        <v>1177</v>
      </c>
      <c r="C413" s="934" t="s">
        <v>155</v>
      </c>
      <c r="D413" s="934" t="s">
        <v>131</v>
      </c>
      <c r="E413" s="984" t="s">
        <v>1913</v>
      </c>
      <c r="F413" s="984"/>
      <c r="G413" s="984" t="e">
        <f>+VLOOKUP(Data_Validation!$A415,BV_Data_An_Cour!$M:$R,6,0)</f>
        <v>#N/A</v>
      </c>
      <c r="H413" s="159"/>
    </row>
    <row r="414" spans="1:8" ht="15" customHeight="1">
      <c r="A414" s="1108">
        <v>6451</v>
      </c>
      <c r="B414" s="163" t="s">
        <v>1283</v>
      </c>
      <c r="C414" s="934" t="s">
        <v>155</v>
      </c>
      <c r="D414" s="934" t="s">
        <v>124</v>
      </c>
      <c r="E414" s="984" t="s">
        <v>1913</v>
      </c>
      <c r="F414" s="984"/>
      <c r="G414" s="984" t="e">
        <f>+VLOOKUP(Data_Validation!$A416,BV_Data_An_Cour!$M:$R,6,0)</f>
        <v>#N/A</v>
      </c>
      <c r="H414" s="159"/>
    </row>
    <row r="415" spans="1:8" ht="15" customHeight="1">
      <c r="A415" s="1102">
        <v>6452</v>
      </c>
      <c r="B415" s="160" t="s">
        <v>1203</v>
      </c>
      <c r="C415" s="934" t="s">
        <v>155</v>
      </c>
      <c r="D415" s="934" t="s">
        <v>129</v>
      </c>
      <c r="E415" s="984" t="s">
        <v>1913</v>
      </c>
      <c r="F415" s="984"/>
      <c r="G415" s="984" t="e">
        <f>+VLOOKUP(Data_Validation!$A417,BV_Data_An_Cour!$M:$R,6,0)</f>
        <v>#N/A</v>
      </c>
      <c r="H415" s="159"/>
    </row>
    <row r="416" spans="1:8" ht="15" customHeight="1">
      <c r="A416" s="1108">
        <v>6453</v>
      </c>
      <c r="B416" s="163" t="s">
        <v>1151</v>
      </c>
      <c r="C416" s="934" t="s">
        <v>155</v>
      </c>
      <c r="D416" s="934" t="s">
        <v>130</v>
      </c>
      <c r="E416" s="984" t="s">
        <v>1913</v>
      </c>
      <c r="F416" s="984"/>
      <c r="G416" s="984" t="e">
        <f>+VLOOKUP(Data_Validation!$A418,BV_Data_An_Cour!$M:$R,6,0)</f>
        <v>#N/A</v>
      </c>
      <c r="H416" s="159"/>
    </row>
    <row r="417" spans="1:8" ht="15" customHeight="1">
      <c r="A417" s="1102">
        <v>6455</v>
      </c>
      <c r="B417" s="160" t="s">
        <v>1234</v>
      </c>
      <c r="C417" s="934" t="s">
        <v>155</v>
      </c>
      <c r="D417" s="934" t="s">
        <v>132</v>
      </c>
      <c r="E417" s="984" t="s">
        <v>1913</v>
      </c>
      <c r="F417" s="984"/>
      <c r="G417" s="984" t="e">
        <f>+VLOOKUP(Data_Validation!$A419,BV_Data_An_Cour!$M:$R,6,0)</f>
        <v>#N/A</v>
      </c>
      <c r="H417" s="159"/>
    </row>
    <row r="418" spans="1:8" ht="15" customHeight="1">
      <c r="A418" s="1102">
        <v>6456</v>
      </c>
      <c r="B418" s="160" t="s">
        <v>1289</v>
      </c>
      <c r="C418" s="934" t="s">
        <v>155</v>
      </c>
      <c r="D418" s="934" t="s">
        <v>125</v>
      </c>
      <c r="E418" s="984" t="s">
        <v>1913</v>
      </c>
      <c r="F418" s="984"/>
      <c r="G418" s="984" t="e">
        <f>+VLOOKUP(Data_Validation!$A420,BV_Data_An_Cour!$M:$R,6,0)</f>
        <v>#N/A</v>
      </c>
      <c r="H418" s="159"/>
    </row>
    <row r="419" spans="1:8" ht="15" customHeight="1">
      <c r="A419" s="1108">
        <v>6459</v>
      </c>
      <c r="B419" s="163" t="s">
        <v>1305</v>
      </c>
      <c r="C419" s="934" t="s">
        <v>155</v>
      </c>
      <c r="D419" s="934" t="s">
        <v>126</v>
      </c>
      <c r="E419" s="984" t="s">
        <v>1913</v>
      </c>
      <c r="F419" s="984"/>
      <c r="G419" s="984" t="e">
        <f>+VLOOKUP(Data_Validation!$A421,BV_Data_An_Cour!$M:$R,6,0)</f>
        <v>#N/A</v>
      </c>
      <c r="H419" s="159"/>
    </row>
    <row r="420" spans="1:8" ht="15" customHeight="1">
      <c r="A420" s="1102">
        <v>6461</v>
      </c>
      <c r="B420" s="160" t="s">
        <v>1330</v>
      </c>
      <c r="C420" s="934" t="s">
        <v>155</v>
      </c>
      <c r="D420" s="934" t="s">
        <v>260</v>
      </c>
      <c r="E420" s="984" t="s">
        <v>1913</v>
      </c>
      <c r="F420" s="984"/>
      <c r="G420" s="984" t="e">
        <f>+VLOOKUP(Data_Validation!$A422,BV_Data_An_Cour!$M:$R,6,0)</f>
        <v>#N/A</v>
      </c>
      <c r="H420" s="159"/>
    </row>
    <row r="421" spans="1:8" ht="15" customHeight="1">
      <c r="A421" s="1108">
        <v>6462</v>
      </c>
      <c r="B421" s="163" t="s">
        <v>933</v>
      </c>
      <c r="C421" s="934" t="s">
        <v>155</v>
      </c>
      <c r="D421" s="934" t="s">
        <v>250</v>
      </c>
      <c r="E421" s="984" t="s">
        <v>1913</v>
      </c>
      <c r="F421" s="984"/>
      <c r="G421" s="984" t="e">
        <f>+VLOOKUP(Data_Validation!$A423,BV_Data_An_Cour!$M:$R,6,0)</f>
        <v>#N/A</v>
      </c>
      <c r="H421" s="159"/>
    </row>
    <row r="422" spans="1:8" ht="15" customHeight="1">
      <c r="A422" s="1102">
        <v>6463</v>
      </c>
      <c r="B422" s="160" t="s">
        <v>1165</v>
      </c>
      <c r="C422" s="934" t="s">
        <v>155</v>
      </c>
      <c r="D422" s="934" t="s">
        <v>248</v>
      </c>
      <c r="E422" s="984" t="s">
        <v>1913</v>
      </c>
      <c r="F422" s="984"/>
      <c r="G422" s="984" t="e">
        <f>+VLOOKUP(Data_Validation!$A424,BV_Data_An_Cour!$M:$R,6,0)</f>
        <v>#N/A</v>
      </c>
      <c r="H422" s="159"/>
    </row>
    <row r="423" spans="1:8" ht="15" customHeight="1">
      <c r="A423" s="1102">
        <v>6481</v>
      </c>
      <c r="B423" s="160" t="s">
        <v>1308</v>
      </c>
      <c r="C423" s="934" t="s">
        <v>155</v>
      </c>
      <c r="D423" s="934" t="s">
        <v>244</v>
      </c>
      <c r="E423" s="984" t="s">
        <v>1913</v>
      </c>
      <c r="F423" s="984"/>
      <c r="G423" s="984" t="e">
        <f>+VLOOKUP(Data_Validation!$A425,BV_Data_An_Cour!$M:$R,6,0)</f>
        <v>#N/A</v>
      </c>
      <c r="H423" s="159"/>
    </row>
    <row r="424" spans="1:8" ht="15" customHeight="1">
      <c r="A424" s="1102">
        <v>6482</v>
      </c>
      <c r="B424" s="160" t="s">
        <v>1449</v>
      </c>
      <c r="C424" s="934" t="s">
        <v>155</v>
      </c>
      <c r="D424" s="934" t="s">
        <v>235</v>
      </c>
      <c r="E424" s="984" t="s">
        <v>1913</v>
      </c>
      <c r="F424" s="984"/>
      <c r="G424" s="984" t="e">
        <f>+VLOOKUP(Data_Validation!$A426,BV_Data_An_Cour!$M:$R,6,0)</f>
        <v>#N/A</v>
      </c>
      <c r="H424" s="159"/>
    </row>
    <row r="425" spans="1:8" ht="15" customHeight="1">
      <c r="A425" s="1108">
        <v>6486</v>
      </c>
      <c r="B425" s="163" t="s">
        <v>1344</v>
      </c>
      <c r="C425" s="934" t="s">
        <v>155</v>
      </c>
      <c r="D425" s="934" t="s">
        <v>242</v>
      </c>
      <c r="E425" s="984" t="s">
        <v>1913</v>
      </c>
      <c r="F425" s="984"/>
      <c r="G425" s="984" t="e">
        <f>+VLOOKUP(Data_Validation!$A427,BV_Data_An_Cour!$M:$R,6,0)</f>
        <v>#N/A</v>
      </c>
      <c r="H425" s="159"/>
    </row>
    <row r="426" spans="1:8" ht="15" customHeight="1">
      <c r="A426" s="1102">
        <v>6487</v>
      </c>
      <c r="B426" s="160" t="s">
        <v>1337</v>
      </c>
      <c r="C426" s="934" t="s">
        <v>155</v>
      </c>
      <c r="D426" s="934" t="s">
        <v>237</v>
      </c>
      <c r="E426" s="984" t="s">
        <v>1913</v>
      </c>
      <c r="F426" s="984"/>
      <c r="G426" s="984" t="e">
        <f>+VLOOKUP(Data_Validation!$A428,BV_Data_An_Cour!$M:$R,6,0)</f>
        <v>#N/A</v>
      </c>
      <c r="H426" s="159"/>
    </row>
    <row r="427" spans="1:8" ht="15" customHeight="1">
      <c r="A427" s="1102">
        <v>6493</v>
      </c>
      <c r="B427" s="160" t="s">
        <v>1271</v>
      </c>
      <c r="C427" s="934" t="s">
        <v>155</v>
      </c>
      <c r="D427" s="934" t="s">
        <v>239</v>
      </c>
      <c r="E427" s="984" t="s">
        <v>1913</v>
      </c>
      <c r="F427" s="984"/>
      <c r="G427" s="984" t="e">
        <f>+VLOOKUP(Data_Validation!$A429,BV_Data_An_Cour!$M:$R,6,0)</f>
        <v>#N/A</v>
      </c>
      <c r="H427" s="159"/>
    </row>
    <row r="428" spans="1:8" ht="15" customHeight="1">
      <c r="A428" s="1102">
        <v>6494</v>
      </c>
      <c r="B428" s="160" t="s">
        <v>1364</v>
      </c>
      <c r="C428" s="934" t="s">
        <v>155</v>
      </c>
      <c r="D428" s="934" t="s">
        <v>246</v>
      </c>
      <c r="E428" s="984" t="s">
        <v>1913</v>
      </c>
      <c r="F428" s="984"/>
      <c r="G428" s="984" t="e">
        <f>+VLOOKUP(Data_Validation!$A430,BV_Data_An_Cour!$M:$R,6,0)</f>
        <v>#N/A</v>
      </c>
      <c r="H428" s="159"/>
    </row>
    <row r="429" spans="1:8" ht="15" customHeight="1">
      <c r="A429" s="1108">
        <v>6495</v>
      </c>
      <c r="B429" s="163" t="s">
        <v>1898</v>
      </c>
      <c r="C429" s="934" t="s">
        <v>155</v>
      </c>
      <c r="D429" s="934" t="s">
        <v>252</v>
      </c>
      <c r="E429" s="984" t="s">
        <v>1913</v>
      </c>
      <c r="F429" s="984"/>
      <c r="G429" s="984" t="e">
        <f>+VLOOKUP(Data_Validation!$A359,BV_Data_An_Cour!$M:$R,6,0)</f>
        <v>#N/A</v>
      </c>
      <c r="H429" s="159"/>
    </row>
    <row r="430" spans="1:8" ht="15" customHeight="1">
      <c r="A430" s="1108">
        <v>6503</v>
      </c>
      <c r="B430" s="163" t="s">
        <v>396</v>
      </c>
      <c r="C430" s="934" t="s">
        <v>171</v>
      </c>
      <c r="D430" s="934" t="s">
        <v>122</v>
      </c>
      <c r="E430" s="984" t="s">
        <v>1913</v>
      </c>
      <c r="F430" s="984"/>
      <c r="G430" s="984" t="e">
        <f>+VLOOKUP(Data_Validation!$A431,BV_Data_An_Cour!$M:$R,6,0)</f>
        <v>#N/A</v>
      </c>
      <c r="H430" s="159"/>
    </row>
    <row r="431" spans="1:8" ht="15" customHeight="1">
      <c r="A431" s="1102">
        <v>6514</v>
      </c>
      <c r="B431" s="160" t="s">
        <v>1371</v>
      </c>
      <c r="C431" s="934" t="s">
        <v>171</v>
      </c>
      <c r="D431" s="934" t="s">
        <v>121</v>
      </c>
      <c r="E431" s="984" t="s">
        <v>1913</v>
      </c>
      <c r="F431" s="984"/>
      <c r="G431" s="984" t="e">
        <f>+VLOOKUP(Data_Validation!$A432,BV_Data_An_Cour!$M:$R,6,0)</f>
        <v>#N/A</v>
      </c>
      <c r="H431" s="159"/>
    </row>
    <row r="432" spans="1:8" ht="15" customHeight="1">
      <c r="A432" s="1102">
        <v>6521</v>
      </c>
      <c r="B432" s="160" t="s">
        <v>1256</v>
      </c>
      <c r="C432" s="934" t="s">
        <v>171</v>
      </c>
      <c r="D432" s="934" t="s">
        <v>213</v>
      </c>
      <c r="E432" s="984" t="s">
        <v>1913</v>
      </c>
      <c r="F432" s="984"/>
      <c r="G432" s="984" t="e">
        <f>+VLOOKUP(Data_Validation!$A433,BV_Data_An_Cour!$M:$R,6,0)</f>
        <v>#N/A</v>
      </c>
      <c r="H432" s="159"/>
    </row>
    <row r="433" spans="1:8" ht="15" customHeight="1">
      <c r="A433" s="1102">
        <v>6522</v>
      </c>
      <c r="B433" s="160" t="s">
        <v>2615</v>
      </c>
      <c r="C433" s="934" t="s">
        <v>171</v>
      </c>
      <c r="D433" s="934" t="s">
        <v>112</v>
      </c>
      <c r="E433" s="984" t="s">
        <v>1913</v>
      </c>
      <c r="F433" s="984"/>
      <c r="G433" s="984" t="e">
        <f>+VLOOKUP(Data_Validation!$A434,BV_Data_An_Cour!$M:$R,6,0)</f>
        <v>#N/A</v>
      </c>
      <c r="H433" s="159"/>
    </row>
    <row r="434" spans="1:8" ht="15" customHeight="1">
      <c r="A434" s="1102">
        <v>6523</v>
      </c>
      <c r="B434" s="160" t="s">
        <v>1263</v>
      </c>
      <c r="C434" s="934" t="s">
        <v>171</v>
      </c>
      <c r="D434" s="934" t="s">
        <v>113</v>
      </c>
      <c r="E434" s="984" t="s">
        <v>1913</v>
      </c>
      <c r="F434" s="984"/>
      <c r="G434" s="984" t="e">
        <f>+VLOOKUP(Data_Validation!$A435,BV_Data_An_Cour!$M:$R,6,0)</f>
        <v>#N/A</v>
      </c>
      <c r="H434" s="159"/>
    </row>
    <row r="435" spans="1:8" ht="15" customHeight="1">
      <c r="A435" s="1102">
        <v>6524</v>
      </c>
      <c r="B435" s="160" t="s">
        <v>1246</v>
      </c>
      <c r="C435" s="934" t="s">
        <v>171</v>
      </c>
      <c r="D435" s="934" t="s">
        <v>114</v>
      </c>
      <c r="E435" s="984" t="s">
        <v>1913</v>
      </c>
      <c r="F435" s="984"/>
      <c r="G435" s="984" t="e">
        <f>+VLOOKUP(Data_Validation!$A436,BV_Data_An_Cour!$M:$R,6,0)</f>
        <v>#N/A</v>
      </c>
      <c r="H435" s="159"/>
    </row>
    <row r="436" spans="1:8" ht="15" customHeight="1">
      <c r="A436" s="1102">
        <v>6525</v>
      </c>
      <c r="B436" s="160" t="s">
        <v>1327</v>
      </c>
      <c r="C436" s="934" t="s">
        <v>171</v>
      </c>
      <c r="D436" s="934" t="s">
        <v>115</v>
      </c>
      <c r="E436" s="984" t="s">
        <v>1913</v>
      </c>
      <c r="F436" s="984"/>
      <c r="G436" s="984" t="e">
        <f>+VLOOKUP(Data_Validation!$A437,BV_Data_An_Cour!$M:$R,6,0)</f>
        <v>#N/A</v>
      </c>
      <c r="H436" s="159"/>
    </row>
    <row r="437" spans="1:8" ht="15" customHeight="1">
      <c r="A437" s="1102">
        <v>6529</v>
      </c>
      <c r="B437" s="163" t="s">
        <v>1208</v>
      </c>
      <c r="C437" s="934" t="s">
        <v>171</v>
      </c>
      <c r="D437" s="934" t="s">
        <v>116</v>
      </c>
      <c r="E437" s="984" t="s">
        <v>1913</v>
      </c>
      <c r="F437" s="984"/>
      <c r="G437" s="984" t="e">
        <f>+VLOOKUP(Data_Validation!$A438,BV_Data_An_Cour!$M:$R,6,0)</f>
        <v>#N/A</v>
      </c>
      <c r="H437" s="159"/>
    </row>
    <row r="438" spans="1:8" ht="15" customHeight="1">
      <c r="A438" s="1102">
        <v>6531</v>
      </c>
      <c r="B438" s="160" t="s">
        <v>1249</v>
      </c>
      <c r="C438" s="934" t="s">
        <v>171</v>
      </c>
      <c r="D438" s="934" t="s">
        <v>119</v>
      </c>
      <c r="E438" s="984" t="s">
        <v>1913</v>
      </c>
      <c r="F438" s="984"/>
      <c r="G438" s="984" t="e">
        <f>+VLOOKUP(Data_Validation!$A439,BV_Data_An_Cour!$M:$R,6,0)</f>
        <v>#N/A</v>
      </c>
      <c r="H438" s="159"/>
    </row>
    <row r="439" spans="1:8" ht="15" customHeight="1">
      <c r="A439" s="1102">
        <v>6532</v>
      </c>
      <c r="B439" s="160" t="s">
        <v>1280</v>
      </c>
      <c r="C439" s="934" t="s">
        <v>171</v>
      </c>
      <c r="D439" s="934" t="s">
        <v>117</v>
      </c>
      <c r="E439" s="984" t="s">
        <v>1913</v>
      </c>
      <c r="F439" s="984"/>
      <c r="G439" s="984" t="e">
        <f>+VLOOKUP(Data_Validation!$A440,BV_Data_An_Cour!$M:$R,6,0)</f>
        <v>#N/A</v>
      </c>
      <c r="H439" s="159"/>
    </row>
    <row r="440" spans="1:8" ht="15" customHeight="1">
      <c r="A440" s="1102">
        <v>6539</v>
      </c>
      <c r="B440" s="160" t="s">
        <v>1302</v>
      </c>
      <c r="C440" s="934" t="s">
        <v>171</v>
      </c>
      <c r="D440" s="934" t="s">
        <v>118</v>
      </c>
      <c r="E440" s="984" t="s">
        <v>1913</v>
      </c>
      <c r="F440" s="984"/>
      <c r="G440" s="984" t="e">
        <f>+VLOOKUP(Data_Validation!$A441,BV_Data_An_Cour!$M:$R,6,0)</f>
        <v>#N/A</v>
      </c>
      <c r="H440" s="159"/>
    </row>
    <row r="441" spans="1:8" ht="15" customHeight="1">
      <c r="A441" s="1102">
        <v>6542</v>
      </c>
      <c r="B441" s="160" t="s">
        <v>1154</v>
      </c>
      <c r="C441" s="934" t="s">
        <v>171</v>
      </c>
      <c r="D441" s="934" t="s">
        <v>127</v>
      </c>
      <c r="E441" s="984" t="s">
        <v>1913</v>
      </c>
      <c r="F441" s="984"/>
      <c r="G441" s="984" t="e">
        <f>+VLOOKUP(Data_Validation!$A442,BV_Data_An_Cour!$M:$R,6,0)</f>
        <v>#N/A</v>
      </c>
      <c r="H441" s="159"/>
    </row>
    <row r="442" spans="1:8" ht="15" customHeight="1">
      <c r="A442" s="1102">
        <v>6543</v>
      </c>
      <c r="B442" s="163" t="s">
        <v>1193</v>
      </c>
      <c r="C442" s="934" t="s">
        <v>171</v>
      </c>
      <c r="D442" s="934" t="s">
        <v>128</v>
      </c>
      <c r="E442" s="984" t="s">
        <v>1913</v>
      </c>
      <c r="F442" s="984"/>
      <c r="G442" s="984" t="e">
        <f>+VLOOKUP(Data_Validation!$A443,BV_Data_An_Cour!$M:$R,6,0)</f>
        <v>#N/A</v>
      </c>
      <c r="H442" s="159"/>
    </row>
    <row r="443" spans="1:8" ht="15" customHeight="1">
      <c r="A443" s="1102">
        <v>6544</v>
      </c>
      <c r="B443" s="160" t="s">
        <v>931</v>
      </c>
      <c r="C443" s="934" t="s">
        <v>171</v>
      </c>
      <c r="D443" s="934" t="s">
        <v>133</v>
      </c>
      <c r="E443" s="984" t="s">
        <v>1913</v>
      </c>
      <c r="F443" s="984"/>
      <c r="G443" s="984" t="e">
        <f>+VLOOKUP(Data_Validation!$A444,BV_Data_An_Cour!$M:$R,6,0)</f>
        <v>#N/A</v>
      </c>
      <c r="H443" s="159"/>
    </row>
    <row r="444" spans="1:8" ht="15" customHeight="1">
      <c r="A444" s="1102">
        <v>6545</v>
      </c>
      <c r="B444" s="160" t="s">
        <v>1183</v>
      </c>
      <c r="C444" s="934" t="s">
        <v>171</v>
      </c>
      <c r="D444" s="934" t="s">
        <v>123</v>
      </c>
      <c r="E444" s="984" t="s">
        <v>1913</v>
      </c>
      <c r="F444" s="984"/>
      <c r="G444" s="984" t="e">
        <f>+VLOOKUP(Data_Validation!$A445,BV_Data_An_Cour!$M:$R,6,0)</f>
        <v>#N/A</v>
      </c>
      <c r="H444" s="159"/>
    </row>
    <row r="445" spans="1:8" ht="15" customHeight="1">
      <c r="A445" s="1102">
        <v>6547</v>
      </c>
      <c r="B445" s="163" t="s">
        <v>1177</v>
      </c>
      <c r="C445" s="934" t="s">
        <v>171</v>
      </c>
      <c r="D445" s="934" t="s">
        <v>131</v>
      </c>
      <c r="E445" s="984" t="s">
        <v>1913</v>
      </c>
      <c r="F445" s="984"/>
      <c r="G445" s="984" t="e">
        <f>+VLOOKUP(Data_Validation!$A446,BV_Data_An_Cour!$M:$R,6,0)</f>
        <v>#N/A</v>
      </c>
      <c r="H445" s="159"/>
    </row>
    <row r="446" spans="1:8" ht="15" customHeight="1">
      <c r="A446" s="1102">
        <v>6551</v>
      </c>
      <c r="B446" s="160" t="s">
        <v>1283</v>
      </c>
      <c r="C446" s="934" t="s">
        <v>171</v>
      </c>
      <c r="D446" s="934" t="s">
        <v>124</v>
      </c>
      <c r="E446" s="984" t="s">
        <v>1913</v>
      </c>
      <c r="F446" s="984"/>
      <c r="G446" s="984" t="e">
        <f>+VLOOKUP(Data_Validation!$A447,BV_Data_An_Cour!$M:$R,6,0)</f>
        <v>#N/A</v>
      </c>
      <c r="H446" s="159"/>
    </row>
    <row r="447" spans="1:8" ht="15" customHeight="1">
      <c r="A447" s="1102">
        <v>6552</v>
      </c>
      <c r="B447" s="163" t="s">
        <v>1203</v>
      </c>
      <c r="C447" s="934" t="s">
        <v>171</v>
      </c>
      <c r="D447" s="934" t="s">
        <v>129</v>
      </c>
      <c r="E447" s="984" t="s">
        <v>1913</v>
      </c>
      <c r="F447" s="987"/>
      <c r="G447" s="987" t="e">
        <f>+VLOOKUP(Data_Validation!$A448,BV_Data_An_Cour!$M:$R,6,0)</f>
        <v>#N/A</v>
      </c>
      <c r="H447" s="159"/>
    </row>
    <row r="448" spans="1:8" ht="15" customHeight="1">
      <c r="A448" s="1102">
        <v>6553</v>
      </c>
      <c r="B448" s="160" t="s">
        <v>1151</v>
      </c>
      <c r="C448" s="934" t="s">
        <v>171</v>
      </c>
      <c r="D448" s="934" t="s">
        <v>130</v>
      </c>
      <c r="E448" s="984" t="s">
        <v>1913</v>
      </c>
      <c r="F448" s="984"/>
      <c r="G448" s="984" t="e">
        <f>+VLOOKUP(Data_Validation!$A449,BV_Data_An_Cour!$M:$R,6,0)</f>
        <v>#N/A</v>
      </c>
      <c r="H448" s="159"/>
    </row>
    <row r="449" spans="1:8" ht="15" customHeight="1">
      <c r="A449" s="1102">
        <v>6555</v>
      </c>
      <c r="B449" s="163" t="s">
        <v>1234</v>
      </c>
      <c r="C449" s="934" t="s">
        <v>171</v>
      </c>
      <c r="D449" s="934" t="s">
        <v>132</v>
      </c>
      <c r="E449" s="984" t="s">
        <v>1913</v>
      </c>
      <c r="F449" s="987"/>
      <c r="G449" s="987" t="e">
        <f>+VLOOKUP(Data_Validation!$A450,BV_Data_An_Cour!$M:$R,6,0)</f>
        <v>#N/A</v>
      </c>
      <c r="H449" s="159"/>
    </row>
    <row r="450" spans="1:8" ht="15" customHeight="1">
      <c r="A450" s="1102">
        <v>6556</v>
      </c>
      <c r="B450" s="163" t="s">
        <v>1214</v>
      </c>
      <c r="C450" s="934" t="s">
        <v>171</v>
      </c>
      <c r="D450" s="934" t="s">
        <v>125</v>
      </c>
      <c r="E450" s="984" t="s">
        <v>1913</v>
      </c>
      <c r="F450" s="984"/>
      <c r="G450" s="984" t="e">
        <f>+VLOOKUP(Data_Validation!$A451,BV_Data_An_Cour!$M:$R,6,0)</f>
        <v>#N/A</v>
      </c>
      <c r="H450" s="159"/>
    </row>
    <row r="451" spans="1:8" ht="15" customHeight="1">
      <c r="A451" s="1102">
        <v>6559</v>
      </c>
      <c r="B451" s="163" t="s">
        <v>1305</v>
      </c>
      <c r="C451" s="934" t="s">
        <v>171</v>
      </c>
      <c r="D451" s="934" t="s">
        <v>126</v>
      </c>
      <c r="E451" s="984" t="s">
        <v>1913</v>
      </c>
      <c r="F451" s="987"/>
      <c r="G451" s="987" t="e">
        <f>+VLOOKUP(Data_Validation!$A452,BV_Data_An_Cour!$M:$R,6,0)</f>
        <v>#N/A</v>
      </c>
      <c r="H451" s="159"/>
    </row>
    <row r="452" spans="1:8" ht="15" customHeight="1">
      <c r="A452" s="1102">
        <v>6561</v>
      </c>
      <c r="B452" s="160" t="s">
        <v>1330</v>
      </c>
      <c r="C452" s="934" t="s">
        <v>171</v>
      </c>
      <c r="D452" s="934" t="s">
        <v>260</v>
      </c>
      <c r="E452" s="984" t="s">
        <v>1913</v>
      </c>
      <c r="F452" s="984"/>
      <c r="G452" s="984" t="e">
        <f>+VLOOKUP(Data_Validation!$A453,BV_Data_An_Cour!$M:$R,6,0)</f>
        <v>#N/A</v>
      </c>
      <c r="H452" s="159"/>
    </row>
    <row r="453" spans="1:8" ht="15" customHeight="1">
      <c r="A453" s="1102">
        <v>6562</v>
      </c>
      <c r="B453" s="163" t="s">
        <v>933</v>
      </c>
      <c r="C453" s="934" t="s">
        <v>171</v>
      </c>
      <c r="D453" s="934" t="s">
        <v>250</v>
      </c>
      <c r="E453" s="984" t="s">
        <v>1913</v>
      </c>
      <c r="F453" s="984"/>
      <c r="G453" s="984" t="e">
        <f>+VLOOKUP(Data_Validation!$A454,BV_Data_An_Cour!$M:$R,6,0)</f>
        <v>#N/A</v>
      </c>
      <c r="H453" s="159"/>
    </row>
    <row r="454" spans="1:8" ht="15" customHeight="1">
      <c r="A454" s="1102">
        <v>6581</v>
      </c>
      <c r="B454" s="160" t="s">
        <v>1241</v>
      </c>
      <c r="C454" s="934" t="s">
        <v>171</v>
      </c>
      <c r="D454" s="934" t="s">
        <v>244</v>
      </c>
      <c r="E454" s="984" t="s">
        <v>1913</v>
      </c>
      <c r="F454" s="984"/>
      <c r="G454" s="984" t="e">
        <f>+VLOOKUP(Data_Validation!$A455,BV_Data_An_Cour!$M:$R,6,0)</f>
        <v>#N/A</v>
      </c>
      <c r="H454" s="159"/>
    </row>
    <row r="455" spans="1:8" ht="15" customHeight="1">
      <c r="A455" s="1102">
        <v>6582</v>
      </c>
      <c r="B455" s="163" t="s">
        <v>1395</v>
      </c>
      <c r="C455" s="934" t="s">
        <v>171</v>
      </c>
      <c r="D455" s="934" t="s">
        <v>235</v>
      </c>
      <c r="E455" s="984" t="s">
        <v>1913</v>
      </c>
      <c r="F455" s="984"/>
      <c r="G455" s="984" t="e">
        <f>+VLOOKUP(Data_Validation!$A456,BV_Data_An_Cour!$M:$R,6,0)</f>
        <v>#N/A</v>
      </c>
      <c r="H455" s="159"/>
    </row>
    <row r="456" spans="1:8" ht="15" customHeight="1">
      <c r="A456" s="1108">
        <v>6586</v>
      </c>
      <c r="B456" s="160" t="s">
        <v>1252</v>
      </c>
      <c r="C456" s="934" t="s">
        <v>171</v>
      </c>
      <c r="D456" s="934" t="s">
        <v>242</v>
      </c>
      <c r="E456" s="984" t="s">
        <v>1913</v>
      </c>
      <c r="F456" s="984"/>
      <c r="G456" s="984" t="e">
        <f>+VLOOKUP(Data_Validation!$A457,BV_Data_An_Cour!$M:$R,6,0)</f>
        <v>#N/A</v>
      </c>
      <c r="H456" s="159"/>
    </row>
    <row r="457" spans="1:8" ht="15" customHeight="1">
      <c r="A457" s="1108">
        <v>6587</v>
      </c>
      <c r="B457" s="160" t="s">
        <v>1261</v>
      </c>
      <c r="C457" s="934" t="s">
        <v>171</v>
      </c>
      <c r="D457" s="934" t="s">
        <v>237</v>
      </c>
      <c r="E457" s="984" t="s">
        <v>1913</v>
      </c>
      <c r="F457" s="984"/>
      <c r="G457" s="984" t="e">
        <f>+VLOOKUP(Data_Validation!$A458,BV_Data_An_Cour!$M:$R,6,0)</f>
        <v>#N/A</v>
      </c>
      <c r="H457" s="159"/>
    </row>
    <row r="458" spans="1:8" ht="15" customHeight="1">
      <c r="A458" s="1102">
        <v>6593</v>
      </c>
      <c r="B458" s="163" t="s">
        <v>1222</v>
      </c>
      <c r="C458" s="934" t="s">
        <v>171</v>
      </c>
      <c r="D458" s="934" t="s">
        <v>239</v>
      </c>
      <c r="E458" s="984" t="s">
        <v>1913</v>
      </c>
      <c r="F458" s="984"/>
      <c r="G458" s="984" t="e">
        <f>+VLOOKUP(Data_Validation!$A459,BV_Data_An_Cour!$M:$R,6,0)</f>
        <v>#N/A</v>
      </c>
      <c r="H458" s="159"/>
    </row>
    <row r="459" spans="1:8" ht="15" customHeight="1">
      <c r="A459" s="1102">
        <v>6594</v>
      </c>
      <c r="B459" s="163" t="s">
        <v>1268</v>
      </c>
      <c r="C459" s="934" t="s">
        <v>171</v>
      </c>
      <c r="D459" s="934" t="s">
        <v>246</v>
      </c>
      <c r="E459" s="984" t="s">
        <v>1913</v>
      </c>
      <c r="F459" s="984"/>
      <c r="G459" s="984" t="e">
        <f>+VLOOKUP(Data_Validation!$A460,BV_Data_An_Cour!$M:$R,6,0)</f>
        <v>#N/A</v>
      </c>
      <c r="H459" s="159"/>
    </row>
    <row r="460" spans="1:8" ht="15" customHeight="1">
      <c r="A460" s="1108">
        <v>6595</v>
      </c>
      <c r="B460" s="163" t="s">
        <v>1900</v>
      </c>
      <c r="C460" s="934" t="s">
        <v>171</v>
      </c>
      <c r="D460" s="934" t="s">
        <v>252</v>
      </c>
      <c r="E460" s="984" t="s">
        <v>1913</v>
      </c>
      <c r="F460" s="984"/>
      <c r="G460" s="984" t="e">
        <f>+VLOOKUP(Data_Validation!$A360,BV_Data_An_Cour!$M:$R,6,0)</f>
        <v>#N/A</v>
      </c>
      <c r="H460" s="159"/>
    </row>
    <row r="461" spans="1:8" ht="15" customHeight="1">
      <c r="A461" s="1102">
        <v>6703</v>
      </c>
      <c r="B461" s="163" t="s">
        <v>396</v>
      </c>
      <c r="C461" s="934" t="s">
        <v>175</v>
      </c>
      <c r="D461" s="934" t="s">
        <v>122</v>
      </c>
      <c r="E461" s="984" t="s">
        <v>1913</v>
      </c>
      <c r="F461" s="984"/>
      <c r="G461" s="984" t="e">
        <f>+VLOOKUP(Data_Validation!$A461,BV_Data_An_Cour!$M:$R,6,0)</f>
        <v>#N/A</v>
      </c>
      <c r="H461" s="159"/>
    </row>
    <row r="462" spans="1:8" ht="15" customHeight="1">
      <c r="A462" s="1102">
        <v>6712</v>
      </c>
      <c r="B462" s="160" t="s">
        <v>1388</v>
      </c>
      <c r="C462" s="934" t="s">
        <v>175</v>
      </c>
      <c r="D462" s="934" t="s">
        <v>122</v>
      </c>
      <c r="E462" s="984" t="s">
        <v>1913</v>
      </c>
      <c r="F462" s="984"/>
      <c r="G462" s="984" t="e">
        <f>+VLOOKUP(Data_Validation!$A462,BV_Data_An_Cour!$M:$R,6,0)</f>
        <v>#N/A</v>
      </c>
      <c r="H462" s="159"/>
    </row>
    <row r="463" spans="1:8" ht="15" customHeight="1">
      <c r="A463" s="1108">
        <v>6714</v>
      </c>
      <c r="B463" s="160" t="s">
        <v>1371</v>
      </c>
      <c r="C463" s="934" t="s">
        <v>175</v>
      </c>
      <c r="D463" s="934" t="s">
        <v>121</v>
      </c>
      <c r="E463" s="984" t="s">
        <v>1913</v>
      </c>
      <c r="F463" s="984"/>
      <c r="G463" s="984" t="e">
        <f>+VLOOKUP(Data_Validation!$A463,BV_Data_An_Cour!$M:$R,6,0)</f>
        <v>#N/A</v>
      </c>
      <c r="H463" s="159"/>
    </row>
    <row r="464" spans="1:8" ht="15" customHeight="1">
      <c r="A464" s="1102">
        <v>6721</v>
      </c>
      <c r="B464" s="163" t="s">
        <v>1354</v>
      </c>
      <c r="C464" s="934" t="s">
        <v>175</v>
      </c>
      <c r="D464" s="934" t="s">
        <v>213</v>
      </c>
      <c r="E464" s="984" t="s">
        <v>1913</v>
      </c>
      <c r="F464" s="984"/>
      <c r="G464" s="984" t="e">
        <f>+VLOOKUP(Data_Validation!$A464,BV_Data_An_Cour!$M:$R,6,0)</f>
        <v>#N/A</v>
      </c>
      <c r="H464" s="159"/>
    </row>
    <row r="465" spans="1:8" ht="15" customHeight="1">
      <c r="A465" s="1108">
        <v>6722</v>
      </c>
      <c r="B465" s="160" t="s">
        <v>2615</v>
      </c>
      <c r="C465" s="934" t="s">
        <v>175</v>
      </c>
      <c r="D465" s="934" t="s">
        <v>112</v>
      </c>
      <c r="E465" s="984" t="s">
        <v>1913</v>
      </c>
      <c r="F465" s="984"/>
      <c r="G465" s="984" t="e">
        <f>+VLOOKUP(Data_Validation!$A465,BV_Data_An_Cour!$M:$R,6,0)</f>
        <v>#N/A</v>
      </c>
      <c r="H465" s="159"/>
    </row>
    <row r="466" spans="1:8" ht="15" customHeight="1">
      <c r="A466" s="1102">
        <v>6723</v>
      </c>
      <c r="B466" s="163" t="s">
        <v>1339</v>
      </c>
      <c r="C466" s="934" t="s">
        <v>175</v>
      </c>
      <c r="D466" s="934" t="s">
        <v>113</v>
      </c>
      <c r="E466" s="984" t="s">
        <v>1913</v>
      </c>
      <c r="F466" s="984"/>
      <c r="G466" s="984" t="e">
        <f>+VLOOKUP(Data_Validation!$A466,BV_Data_An_Cour!$M:$R,6,0)</f>
        <v>#N/A</v>
      </c>
      <c r="H466" s="159"/>
    </row>
    <row r="467" spans="1:8" ht="15" customHeight="1">
      <c r="A467" s="1102">
        <v>6724</v>
      </c>
      <c r="B467" s="160" t="s">
        <v>1246</v>
      </c>
      <c r="C467" s="934" t="s">
        <v>175</v>
      </c>
      <c r="D467" s="934" t="s">
        <v>114</v>
      </c>
      <c r="E467" s="984" t="s">
        <v>1913</v>
      </c>
      <c r="F467" s="984"/>
      <c r="G467" s="984" t="e">
        <f>+VLOOKUP(Data_Validation!$A467,BV_Data_An_Cour!$M:$R,6,0)</f>
        <v>#N/A</v>
      </c>
      <c r="H467" s="159"/>
    </row>
    <row r="468" spans="1:8" ht="15" customHeight="1">
      <c r="A468" s="1102">
        <v>6729</v>
      </c>
      <c r="B468" s="163" t="s">
        <v>1325</v>
      </c>
      <c r="C468" s="934" t="s">
        <v>175</v>
      </c>
      <c r="D468" s="934" t="s">
        <v>116</v>
      </c>
      <c r="E468" s="984" t="s">
        <v>1913</v>
      </c>
      <c r="F468" s="984"/>
      <c r="G468" s="984" t="e">
        <f>+VLOOKUP(Data_Validation!$A468,BV_Data_An_Cour!$M:$R,6,0)</f>
        <v>#N/A</v>
      </c>
      <c r="H468" s="159"/>
    </row>
    <row r="469" spans="1:8" ht="15" customHeight="1">
      <c r="A469" s="1102">
        <v>6731</v>
      </c>
      <c r="B469" s="160" t="s">
        <v>1249</v>
      </c>
      <c r="C469" s="934" t="s">
        <v>175</v>
      </c>
      <c r="D469" s="934" t="s">
        <v>119</v>
      </c>
      <c r="E469" s="984" t="s">
        <v>1913</v>
      </c>
      <c r="F469" s="984"/>
      <c r="G469" s="984" t="e">
        <f>+VLOOKUP(Data_Validation!$A469,BV_Data_An_Cour!$M:$R,6,0)</f>
        <v>#N/A</v>
      </c>
      <c r="H469" s="159"/>
    </row>
    <row r="470" spans="1:8" ht="15" customHeight="1">
      <c r="A470" s="1102">
        <v>6732</v>
      </c>
      <c r="B470" s="163" t="s">
        <v>1280</v>
      </c>
      <c r="C470" s="934" t="s">
        <v>175</v>
      </c>
      <c r="D470" s="934" t="s">
        <v>119</v>
      </c>
      <c r="E470" s="984" t="s">
        <v>1913</v>
      </c>
      <c r="F470" s="984"/>
      <c r="G470" s="984" t="e">
        <f>+VLOOKUP(Data_Validation!$A470,BV_Data_An_Cour!$M:$R,6,0)</f>
        <v>#N/A</v>
      </c>
      <c r="H470" s="159"/>
    </row>
    <row r="471" spans="1:8" ht="15" customHeight="1">
      <c r="A471" s="1102">
        <v>6733</v>
      </c>
      <c r="B471" s="160" t="s">
        <v>1161</v>
      </c>
      <c r="C471" s="934" t="s">
        <v>175</v>
      </c>
      <c r="D471" s="934" t="s">
        <v>117</v>
      </c>
      <c r="E471" s="984" t="s">
        <v>1913</v>
      </c>
      <c r="F471" s="984"/>
      <c r="G471" s="984" t="e">
        <f>+VLOOKUP(Data_Validation!$A471,BV_Data_An_Cour!$M:$R,6,0)</f>
        <v>#N/A</v>
      </c>
      <c r="H471" s="159"/>
    </row>
    <row r="472" spans="1:8" ht="15" customHeight="1">
      <c r="A472" s="1102">
        <v>6739</v>
      </c>
      <c r="B472" s="163" t="s">
        <v>1302</v>
      </c>
      <c r="C472" s="934" t="s">
        <v>175</v>
      </c>
      <c r="D472" s="934" t="s">
        <v>118</v>
      </c>
      <c r="E472" s="984" t="s">
        <v>1913</v>
      </c>
      <c r="F472" s="984"/>
      <c r="G472" s="984" t="e">
        <f>+VLOOKUP(Data_Validation!$A472,BV_Data_An_Cour!$M:$R,6,0)</f>
        <v>#N/A</v>
      </c>
      <c r="H472" s="159"/>
    </row>
    <row r="473" spans="1:8" ht="15" customHeight="1">
      <c r="A473" s="1102">
        <v>6742</v>
      </c>
      <c r="B473" s="160" t="s">
        <v>1154</v>
      </c>
      <c r="C473" s="934" t="s">
        <v>175</v>
      </c>
      <c r="D473" s="934" t="s">
        <v>127</v>
      </c>
      <c r="E473" s="984" t="s">
        <v>1913</v>
      </c>
      <c r="F473" s="984"/>
      <c r="G473" s="984" t="e">
        <f>+VLOOKUP(Data_Validation!$A473,BV_Data_An_Cour!$M:$R,6,0)</f>
        <v>#N/A</v>
      </c>
      <c r="H473" s="159"/>
    </row>
    <row r="474" spans="1:8" ht="15" customHeight="1">
      <c r="A474" s="1102">
        <v>6743</v>
      </c>
      <c r="B474" s="163" t="s">
        <v>929</v>
      </c>
      <c r="C474" s="934" t="s">
        <v>175</v>
      </c>
      <c r="D474" s="934" t="s">
        <v>128</v>
      </c>
      <c r="E474" s="984" t="s">
        <v>1913</v>
      </c>
      <c r="F474" s="984"/>
      <c r="G474" s="984" t="e">
        <f>+VLOOKUP(Data_Validation!$A474,BV_Data_An_Cour!$M:$R,6,0)</f>
        <v>#N/A</v>
      </c>
      <c r="H474" s="159"/>
    </row>
    <row r="475" spans="1:8" ht="15" customHeight="1">
      <c r="A475" s="1102">
        <v>6744</v>
      </c>
      <c r="B475" s="160" t="s">
        <v>931</v>
      </c>
      <c r="C475" s="934" t="s">
        <v>175</v>
      </c>
      <c r="D475" s="934" t="s">
        <v>133</v>
      </c>
      <c r="E475" s="984" t="s">
        <v>1913</v>
      </c>
      <c r="F475" s="984"/>
      <c r="G475" s="984" t="e">
        <f>+VLOOKUP(Data_Validation!$A475,BV_Data_An_Cour!$M:$R,6,0)</f>
        <v>#N/A</v>
      </c>
      <c r="H475" s="159"/>
    </row>
    <row r="476" spans="1:8" ht="15" customHeight="1">
      <c r="A476" s="1102">
        <v>6745</v>
      </c>
      <c r="B476" s="163" t="s">
        <v>1183</v>
      </c>
      <c r="C476" s="934" t="s">
        <v>175</v>
      </c>
      <c r="D476" s="934" t="s">
        <v>123</v>
      </c>
      <c r="E476" s="984" t="s">
        <v>1913</v>
      </c>
      <c r="F476" s="984"/>
      <c r="G476" s="984" t="e">
        <f>+VLOOKUP(Data_Validation!$A476,BV_Data_An_Cour!$M:$R,6,0)</f>
        <v>#N/A</v>
      </c>
      <c r="H476" s="159"/>
    </row>
    <row r="477" spans="1:8" ht="15" customHeight="1">
      <c r="A477" s="1108">
        <v>6747</v>
      </c>
      <c r="B477" s="165" t="s">
        <v>1177</v>
      </c>
      <c r="C477" s="934" t="s">
        <v>175</v>
      </c>
      <c r="D477" s="934" t="s">
        <v>131</v>
      </c>
      <c r="E477" s="984" t="s">
        <v>1913</v>
      </c>
      <c r="F477" s="985"/>
      <c r="G477" s="984" t="e">
        <f>+VLOOKUP(Data_Validation!$A477,BV_Data_An_Cour!$M:$R,6,0)</f>
        <v>#N/A</v>
      </c>
      <c r="H477" s="159"/>
    </row>
    <row r="478" spans="1:8" ht="15" customHeight="1">
      <c r="A478" s="1102">
        <v>6751</v>
      </c>
      <c r="B478" s="165" t="s">
        <v>1283</v>
      </c>
      <c r="C478" s="934" t="s">
        <v>175</v>
      </c>
      <c r="D478" s="934" t="s">
        <v>124</v>
      </c>
      <c r="E478" s="984" t="s">
        <v>1913</v>
      </c>
      <c r="F478" s="985"/>
      <c r="G478" s="984" t="e">
        <f>+VLOOKUP(Data_Validation!$A478,BV_Data_An_Cour!$M:$R,6,0)</f>
        <v>#N/A</v>
      </c>
      <c r="H478" s="159"/>
    </row>
    <row r="479" spans="1:8" ht="15" customHeight="1">
      <c r="A479" s="1102">
        <v>6752</v>
      </c>
      <c r="B479" s="165" t="s">
        <v>1203</v>
      </c>
      <c r="C479" s="934" t="s">
        <v>175</v>
      </c>
      <c r="D479" s="934" t="s">
        <v>129</v>
      </c>
      <c r="E479" s="984" t="s">
        <v>1913</v>
      </c>
      <c r="F479" s="985"/>
      <c r="G479" s="984" t="e">
        <f>+VLOOKUP(Data_Validation!$A479,BV_Data_An_Cour!$M:$R,6,0)</f>
        <v>#N/A</v>
      </c>
      <c r="H479" s="159"/>
    </row>
    <row r="480" spans="1:8" ht="15" customHeight="1">
      <c r="A480" s="1102">
        <v>6753</v>
      </c>
      <c r="B480" s="165" t="s">
        <v>1151</v>
      </c>
      <c r="C480" s="934" t="s">
        <v>175</v>
      </c>
      <c r="D480" s="934" t="s">
        <v>130</v>
      </c>
      <c r="E480" s="984" t="s">
        <v>1913</v>
      </c>
      <c r="F480" s="985"/>
      <c r="G480" s="984" t="e">
        <f>+VLOOKUP(Data_Validation!$A480,BV_Data_An_Cour!$M:$R,6,0)</f>
        <v>#N/A</v>
      </c>
      <c r="H480" s="159"/>
    </row>
    <row r="481" spans="1:29" ht="15" customHeight="1">
      <c r="A481" s="1102">
        <v>6755</v>
      </c>
      <c r="B481" s="165" t="s">
        <v>1234</v>
      </c>
      <c r="C481" s="934" t="s">
        <v>175</v>
      </c>
      <c r="D481" s="934" t="s">
        <v>132</v>
      </c>
      <c r="E481" s="984" t="s">
        <v>1913</v>
      </c>
      <c r="F481" s="985"/>
      <c r="G481" s="984" t="e">
        <f>+VLOOKUP(Data_Validation!$A481,BV_Data_An_Cour!$M:$R,6,0)</f>
        <v>#N/A</v>
      </c>
      <c r="H481" s="159"/>
    </row>
    <row r="482" spans="1:29" ht="15" customHeight="1">
      <c r="A482" s="1102">
        <v>6756</v>
      </c>
      <c r="B482" s="165" t="s">
        <v>1291</v>
      </c>
      <c r="C482" s="934" t="s">
        <v>175</v>
      </c>
      <c r="D482" s="934" t="s">
        <v>125</v>
      </c>
      <c r="E482" s="984" t="s">
        <v>1913</v>
      </c>
      <c r="F482" s="985"/>
      <c r="G482" s="984" t="e">
        <f>+VLOOKUP(Data_Validation!$A482,BV_Data_An_Cour!$M:$R,6,0)</f>
        <v>#N/A</v>
      </c>
      <c r="H482" s="159"/>
    </row>
    <row r="483" spans="1:29" ht="15" customHeight="1">
      <c r="A483" s="1102">
        <v>6759</v>
      </c>
      <c r="B483" s="165" t="s">
        <v>1305</v>
      </c>
      <c r="C483" s="934" t="s">
        <v>175</v>
      </c>
      <c r="D483" s="934" t="s">
        <v>126</v>
      </c>
      <c r="E483" s="984" t="s">
        <v>1913</v>
      </c>
      <c r="F483" s="985"/>
      <c r="G483" s="984" t="e">
        <f>+VLOOKUP(Data_Validation!$A483,BV_Data_An_Cour!$M:$R,6,0)</f>
        <v>#N/A</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02">
        <v>6761</v>
      </c>
      <c r="B484" s="160" t="s">
        <v>1330</v>
      </c>
      <c r="C484" s="934" t="s">
        <v>175</v>
      </c>
      <c r="D484" s="934" t="s">
        <v>260</v>
      </c>
      <c r="E484" s="984" t="s">
        <v>1913</v>
      </c>
      <c r="F484" s="985"/>
      <c r="G484" s="984" t="e">
        <f>+VLOOKUP(Data_Validation!$A484,BV_Data_An_Cour!$M:$R,6,0)</f>
        <v>#N/A</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02">
        <v>6762</v>
      </c>
      <c r="B485" s="165" t="s">
        <v>933</v>
      </c>
      <c r="C485" s="934" t="s">
        <v>175</v>
      </c>
      <c r="D485" s="934" t="s">
        <v>250</v>
      </c>
      <c r="E485" s="984" t="s">
        <v>1913</v>
      </c>
      <c r="F485" s="985"/>
      <c r="G485" s="984" t="e">
        <f>+VLOOKUP(Data_Validation!$A485,BV_Data_An_Cour!$M:$R,6,0)</f>
        <v>#N/A</v>
      </c>
      <c r="H485" s="159"/>
    </row>
    <row r="486" spans="1:29" ht="15" customHeight="1">
      <c r="A486" s="1102">
        <v>6781</v>
      </c>
      <c r="B486" s="165" t="s">
        <v>1313</v>
      </c>
      <c r="C486" s="934" t="s">
        <v>175</v>
      </c>
      <c r="D486" s="934" t="s">
        <v>244</v>
      </c>
      <c r="E486" s="984" t="s">
        <v>1913</v>
      </c>
      <c r="F486" s="985"/>
      <c r="G486" s="984" t="e">
        <f>+VLOOKUP(Data_Validation!$A486,BV_Data_An_Cour!$M:$R,6,0)</f>
        <v>#N/A</v>
      </c>
      <c r="H486" s="159"/>
    </row>
    <row r="487" spans="1:29" ht="15" customHeight="1">
      <c r="A487" s="1102">
        <v>6782</v>
      </c>
      <c r="B487" s="165" t="s">
        <v>1454</v>
      </c>
      <c r="C487" s="934" t="s">
        <v>175</v>
      </c>
      <c r="D487" s="934" t="s">
        <v>235</v>
      </c>
      <c r="E487" s="984" t="s">
        <v>1913</v>
      </c>
      <c r="F487" s="985"/>
      <c r="G487" s="984" t="e">
        <f>+VLOOKUP(Data_Validation!$A487,BV_Data_An_Cour!$M:$R,6,0)</f>
        <v>#N/A</v>
      </c>
      <c r="H487" s="159"/>
    </row>
    <row r="488" spans="1:29" ht="15" customHeight="1">
      <c r="A488" s="1102">
        <v>6786</v>
      </c>
      <c r="B488" s="165" t="s">
        <v>1349</v>
      </c>
      <c r="C488" s="934" t="s">
        <v>175</v>
      </c>
      <c r="D488" s="934" t="s">
        <v>242</v>
      </c>
      <c r="E488" s="984" t="s">
        <v>1913</v>
      </c>
      <c r="F488" s="985"/>
      <c r="G488" s="984" t="e">
        <f>+VLOOKUP(Data_Validation!$A488,BV_Data_An_Cour!$M:$R,6,0)</f>
        <v>#N/A</v>
      </c>
      <c r="H488" s="159"/>
    </row>
    <row r="489" spans="1:29" ht="15" customHeight="1">
      <c r="A489" s="1102">
        <v>6787</v>
      </c>
      <c r="B489" s="165" t="s">
        <v>1341</v>
      </c>
      <c r="C489" s="934" t="s">
        <v>175</v>
      </c>
      <c r="D489" s="934" t="s">
        <v>237</v>
      </c>
      <c r="E489" s="984" t="s">
        <v>1913</v>
      </c>
      <c r="F489" s="985"/>
      <c r="G489" s="984" t="e">
        <f>+VLOOKUP(Data_Validation!$A489,BV_Data_An_Cour!$M:$R,6,0)</f>
        <v>#N/A</v>
      </c>
      <c r="H489" s="159"/>
    </row>
    <row r="490" spans="1:29" ht="15" customHeight="1">
      <c r="A490" s="1102">
        <v>6793</v>
      </c>
      <c r="B490" s="165" t="s">
        <v>1275</v>
      </c>
      <c r="C490" s="934" t="s">
        <v>175</v>
      </c>
      <c r="D490" s="934" t="s">
        <v>239</v>
      </c>
      <c r="E490" s="984" t="s">
        <v>1913</v>
      </c>
      <c r="F490" s="985"/>
      <c r="G490" s="984" t="e">
        <f>+VLOOKUP(Data_Validation!$A490,BV_Data_An_Cour!$M:$R,6,0)</f>
        <v>#N/A</v>
      </c>
      <c r="H490" s="159"/>
      <c r="K490" s="2"/>
    </row>
    <row r="491" spans="1:29" ht="15" customHeight="1">
      <c r="A491" s="1102">
        <v>6794</v>
      </c>
      <c r="B491" s="165" t="s">
        <v>1368</v>
      </c>
      <c r="C491" s="934" t="s">
        <v>175</v>
      </c>
      <c r="D491" s="934" t="s">
        <v>246</v>
      </c>
      <c r="E491" s="984" t="s">
        <v>1913</v>
      </c>
      <c r="F491" s="985"/>
      <c r="G491" s="984" t="e">
        <f>+VLOOKUP(Data_Validation!$A491,BV_Data_An_Cour!$M:$R,6,0)</f>
        <v>#N/A</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08">
        <v>6795</v>
      </c>
      <c r="B492" s="163" t="s">
        <v>1902</v>
      </c>
      <c r="C492" s="934" t="s">
        <v>175</v>
      </c>
      <c r="D492" s="934" t="s">
        <v>252</v>
      </c>
      <c r="E492" s="984" t="s">
        <v>1913</v>
      </c>
      <c r="F492" s="984"/>
      <c r="G492" s="984" t="e">
        <f>+VLOOKUP(Data_Validation!$A361,BV_Data_An_Cour!$M:$R,6,0)</f>
        <v>#N/A</v>
      </c>
      <c r="H492" s="159"/>
    </row>
    <row r="493" spans="1:29" ht="15" customHeight="1">
      <c r="A493" s="1102">
        <v>9149</v>
      </c>
      <c r="B493" s="165" t="s">
        <v>2046</v>
      </c>
      <c r="C493" s="934" t="s">
        <v>75</v>
      </c>
      <c r="D493" s="934" t="s">
        <v>140</v>
      </c>
      <c r="E493" s="984" t="s">
        <v>1913</v>
      </c>
      <c r="F493" s="985"/>
      <c r="G493" s="984" t="e">
        <f>+VLOOKUP(Data_Validation!$A492,BV_Data_An_Cour!$M:$R,6,0)</f>
        <v>#N/A</v>
      </c>
      <c r="H493" s="159"/>
    </row>
    <row r="494" spans="1:29" ht="15" customHeight="1">
      <c r="A494" s="1102">
        <v>9152</v>
      </c>
      <c r="B494" s="165" t="s">
        <v>2131</v>
      </c>
      <c r="C494" s="934" t="s">
        <v>175</v>
      </c>
      <c r="D494" s="934" t="s">
        <v>183</v>
      </c>
      <c r="E494" s="984" t="s">
        <v>1913</v>
      </c>
      <c r="F494" s="985"/>
      <c r="G494" s="984" t="e">
        <f>+VLOOKUP(Data_Validation!$A493,BV_Data_An_Cour!$M:$R,6,0)</f>
        <v>#N/A</v>
      </c>
      <c r="H494" s="159"/>
    </row>
    <row r="495" spans="1:29" ht="15" customHeight="1">
      <c r="A495" s="1102">
        <v>9157</v>
      </c>
      <c r="B495" s="165" t="s">
        <v>2070</v>
      </c>
      <c r="C495" s="934" t="s">
        <v>75</v>
      </c>
      <c r="D495" s="934" t="s">
        <v>137</v>
      </c>
      <c r="E495" s="984" t="s">
        <v>1913</v>
      </c>
      <c r="F495" s="985"/>
      <c r="G495" s="984" t="e">
        <f>+VLOOKUP(Data_Validation!$A494,BV_Data_An_Cour!$M:$R,6,0)</f>
        <v>#N/A</v>
      </c>
      <c r="H495" s="159"/>
    </row>
    <row r="496" spans="1:29" ht="15" customHeight="1">
      <c r="A496" s="1102">
        <v>9161</v>
      </c>
      <c r="B496" s="165" t="s">
        <v>2163</v>
      </c>
      <c r="C496" s="934" t="s">
        <v>75</v>
      </c>
      <c r="D496" s="934" t="s">
        <v>97</v>
      </c>
      <c r="E496" s="984" t="s">
        <v>1913</v>
      </c>
      <c r="F496" s="985" t="s">
        <v>1916</v>
      </c>
      <c r="G496" s="984" t="e">
        <f>+VLOOKUP(Data_Validation!$A495,BV_Data_An_Cour!$M:$R,6,0)</f>
        <v>#N/A</v>
      </c>
      <c r="H496" s="159"/>
    </row>
    <row r="497" spans="1:29" ht="15" customHeight="1">
      <c r="A497" s="1102">
        <v>9163</v>
      </c>
      <c r="B497" s="165" t="s">
        <v>2077</v>
      </c>
      <c r="C497" s="934" t="s">
        <v>144</v>
      </c>
      <c r="D497" s="934" t="s">
        <v>97</v>
      </c>
      <c r="E497" s="984" t="s">
        <v>1913</v>
      </c>
      <c r="F497" s="985" t="s">
        <v>1916</v>
      </c>
      <c r="G497" s="984" t="e">
        <f>+VLOOKUP(Data_Validation!$A496,BV_Data_An_Cour!$M:$R,6,0)</f>
        <v>#N/A</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02">
        <v>9165</v>
      </c>
      <c r="B498" s="165" t="s">
        <v>2164</v>
      </c>
      <c r="C498" s="934" t="s">
        <v>75</v>
      </c>
      <c r="D498" s="934" t="s">
        <v>99</v>
      </c>
      <c r="E498" s="984" t="s">
        <v>1913</v>
      </c>
      <c r="F498" s="985" t="s">
        <v>1916</v>
      </c>
      <c r="G498" s="984" t="e">
        <f>+VLOOKUP(Data_Validation!$A497,BV_Data_An_Cour!$M:$R,6,0)</f>
        <v>#N/A</v>
      </c>
      <c r="H498" s="159"/>
      <c r="K498" s="2"/>
    </row>
    <row r="499" spans="1:29" s="564" customFormat="1" ht="15" customHeight="1">
      <c r="A499" s="1102">
        <v>9167</v>
      </c>
      <c r="B499" s="165" t="s">
        <v>2172</v>
      </c>
      <c r="C499" s="934" t="s">
        <v>144</v>
      </c>
      <c r="D499" s="934" t="s">
        <v>99</v>
      </c>
      <c r="E499" s="984" t="s">
        <v>1913</v>
      </c>
      <c r="F499" s="985" t="s">
        <v>1916</v>
      </c>
      <c r="G499" s="984" t="e">
        <f>+VLOOKUP(Data_Validation!$A498,BV_Data_An_Cour!$M:$R,6,0)</f>
        <v>#N/A</v>
      </c>
      <c r="H499" s="159"/>
      <c r="K499" s="159"/>
    </row>
    <row r="500" spans="1:29" ht="15" customHeight="1">
      <c r="A500" s="1102">
        <v>9169</v>
      </c>
      <c r="B500" s="165" t="s">
        <v>2085</v>
      </c>
      <c r="C500" s="934" t="s">
        <v>75</v>
      </c>
      <c r="D500" s="934" t="s">
        <v>98</v>
      </c>
      <c r="E500" s="984" t="s">
        <v>1913</v>
      </c>
      <c r="F500" s="985" t="s">
        <v>1916</v>
      </c>
      <c r="G500" s="984" t="e">
        <f>+VLOOKUP(Data_Validation!$A499,BV_Data_An_Cour!$M:$R,6,0)</f>
        <v>#N/A</v>
      </c>
      <c r="H500" s="159"/>
    </row>
    <row r="501" spans="1:29" ht="15" customHeight="1">
      <c r="A501" s="1102">
        <v>9170</v>
      </c>
      <c r="B501" s="165" t="s">
        <v>2067</v>
      </c>
      <c r="C501" s="934" t="s">
        <v>75</v>
      </c>
      <c r="D501" s="934" t="s">
        <v>98</v>
      </c>
      <c r="E501" s="984" t="s">
        <v>1913</v>
      </c>
      <c r="F501" s="985" t="s">
        <v>1916</v>
      </c>
      <c r="G501" s="984" t="e">
        <f>+VLOOKUP(Data_Validation!$A500,BV_Data_An_Cour!$M:$R,6,0)</f>
        <v>#N/A</v>
      </c>
      <c r="H501" s="159"/>
    </row>
    <row r="502" spans="1:29" ht="15" customHeight="1">
      <c r="A502" s="1102">
        <v>9171</v>
      </c>
      <c r="B502" s="165" t="s">
        <v>2081</v>
      </c>
      <c r="C502" s="934" t="s">
        <v>144</v>
      </c>
      <c r="D502" s="934" t="s">
        <v>98</v>
      </c>
      <c r="E502" s="984" t="s">
        <v>1913</v>
      </c>
      <c r="F502" s="985" t="s">
        <v>1916</v>
      </c>
      <c r="G502" s="984" t="e">
        <f>+VLOOKUP(Data_Validation!$A501,BV_Data_An_Cour!$M:$R,6,0)</f>
        <v>#N/A</v>
      </c>
      <c r="H502" s="159"/>
    </row>
    <row r="503" spans="1:29" ht="15" customHeight="1">
      <c r="A503" s="1102">
        <v>9172</v>
      </c>
      <c r="B503" s="165" t="s">
        <v>2089</v>
      </c>
      <c r="C503" s="934" t="s">
        <v>144</v>
      </c>
      <c r="D503" s="934" t="s">
        <v>98</v>
      </c>
      <c r="E503" s="984" t="s">
        <v>1913</v>
      </c>
      <c r="F503" s="985" t="s">
        <v>1916</v>
      </c>
      <c r="G503" s="984" t="e">
        <f>+VLOOKUP(Data_Validation!$A502,BV_Data_An_Cour!$M:$R,6,0)</f>
        <v>#N/A</v>
      </c>
      <c r="H503" s="159"/>
    </row>
    <row r="504" spans="1:29" ht="15" customHeight="1">
      <c r="A504" s="1102">
        <v>9173</v>
      </c>
      <c r="B504" s="165" t="s">
        <v>2073</v>
      </c>
      <c r="C504" s="934" t="s">
        <v>75</v>
      </c>
      <c r="D504" s="934" t="s">
        <v>141</v>
      </c>
      <c r="E504" s="984" t="s">
        <v>1913</v>
      </c>
      <c r="F504" s="985"/>
      <c r="G504" s="984" t="e">
        <f>+VLOOKUP(Data_Validation!$A503,BV_Data_An_Cour!$M:$R,6,0)</f>
        <v>#N/A</v>
      </c>
      <c r="H504" s="157"/>
    </row>
    <row r="505" spans="1:29" ht="15" customHeight="1">
      <c r="A505" s="1102">
        <v>9191</v>
      </c>
      <c r="B505" s="165" t="s">
        <v>2055</v>
      </c>
      <c r="C505" s="934" t="s">
        <v>193</v>
      </c>
      <c r="D505" s="934" t="s">
        <v>255</v>
      </c>
      <c r="E505" s="984" t="s">
        <v>1913</v>
      </c>
      <c r="F505" s="985"/>
      <c r="G505" s="984" t="e">
        <f>+VLOOKUP(Data_Validation!$A504,BV_Data_An_Cour!$M:$R,6,0)</f>
        <v>#N/A</v>
      </c>
      <c r="H505" s="159"/>
    </row>
    <row r="506" spans="1:29" ht="15" customHeight="1">
      <c r="A506" s="1102">
        <v>9192</v>
      </c>
      <c r="B506" s="165" t="s">
        <v>2950</v>
      </c>
      <c r="C506" s="934" t="s">
        <v>193</v>
      </c>
      <c r="D506" s="934" t="s">
        <v>255</v>
      </c>
      <c r="E506" s="984" t="s">
        <v>1913</v>
      </c>
      <c r="F506" s="985"/>
      <c r="G506" s="984" t="e">
        <f>+VLOOKUP(Data_Validation!$A505,BV_Data_An_Cour!$M:$R,6,0)</f>
        <v>#N/A</v>
      </c>
      <c r="H506" s="159"/>
    </row>
    <row r="507" spans="1:29" ht="15" customHeight="1">
      <c r="A507" s="1102">
        <v>9402</v>
      </c>
      <c r="B507" s="165" t="s">
        <v>2641</v>
      </c>
      <c r="C507" s="934" t="s">
        <v>193</v>
      </c>
      <c r="D507" s="934" t="s">
        <v>262</v>
      </c>
      <c r="E507" s="984" t="s">
        <v>1913</v>
      </c>
      <c r="F507" s="985"/>
      <c r="G507" s="984" t="e">
        <f>+VLOOKUP(Data_Validation!$A506,BV_Data_An_Cour!$M:$R,6,0)</f>
        <v>#N/A</v>
      </c>
      <c r="H507" s="159"/>
    </row>
    <row r="508" spans="1:29" ht="15" customHeight="1">
      <c r="A508" s="1102">
        <v>9403</v>
      </c>
      <c r="B508" s="165" t="s">
        <v>2167</v>
      </c>
      <c r="C508" s="934" t="s">
        <v>193</v>
      </c>
      <c r="D508" s="934" t="s">
        <v>261</v>
      </c>
      <c r="E508" s="984" t="s">
        <v>1913</v>
      </c>
      <c r="F508" s="985"/>
      <c r="G508" s="984" t="e">
        <f>+VLOOKUP(Data_Validation!$A507,BV_Data_An_Cour!$M:$R,6,0)</f>
        <v>#N/A</v>
      </c>
      <c r="H508" s="159"/>
    </row>
    <row r="509" spans="1:29" ht="15" customHeight="1">
      <c r="A509" s="1102">
        <v>9404</v>
      </c>
      <c r="B509" s="165" t="s">
        <v>1386</v>
      </c>
      <c r="C509" s="934" t="s">
        <v>193</v>
      </c>
      <c r="D509" s="934" t="s">
        <v>262</v>
      </c>
      <c r="E509" s="984" t="s">
        <v>1913</v>
      </c>
      <c r="F509" s="985"/>
      <c r="G509" s="984" t="e">
        <f>+VLOOKUP(Data_Validation!$A508,BV_Data_An_Cour!$M:$R,6,0)</f>
        <v>#N/A</v>
      </c>
      <c r="H509" s="159"/>
    </row>
    <row r="510" spans="1:29" ht="15" customHeight="1">
      <c r="A510" s="1102">
        <v>9406</v>
      </c>
      <c r="B510" s="165" t="s">
        <v>1382</v>
      </c>
      <c r="C510" s="934" t="s">
        <v>75</v>
      </c>
      <c r="D510" s="934" t="s">
        <v>134</v>
      </c>
      <c r="E510" s="984" t="s">
        <v>1913</v>
      </c>
      <c r="F510" s="985"/>
      <c r="G510" s="984" t="e">
        <f>+VLOOKUP(Data_Validation!$A509,BV_Data_An_Cour!$M:$R,6,0)</f>
        <v>#N/A</v>
      </c>
      <c r="H510" s="159"/>
    </row>
    <row r="511" spans="1:29" ht="15" customHeight="1">
      <c r="A511" s="162" t="s">
        <v>2469</v>
      </c>
      <c r="B511" s="163" t="s">
        <v>2468</v>
      </c>
      <c r="C511" s="934" t="s">
        <v>1638</v>
      </c>
      <c r="D511" s="934"/>
      <c r="E511" s="987" t="s">
        <v>1911</v>
      </c>
      <c r="F511" s="985"/>
      <c r="G511" s="984" t="e">
        <f>+VLOOKUP(Data_Validation!$A510,BV_Data_An_Cour!$M:$R,6,0)</f>
        <v>#N/A</v>
      </c>
      <c r="H511" s="159"/>
    </row>
    <row r="512" spans="1:29" ht="15" customHeight="1">
      <c r="A512" s="162" t="s">
        <v>2471</v>
      </c>
      <c r="B512" s="163" t="s">
        <v>2470</v>
      </c>
      <c r="C512" s="934" t="s">
        <v>1638</v>
      </c>
      <c r="D512" s="934"/>
      <c r="E512" s="987" t="s">
        <v>1911</v>
      </c>
      <c r="F512" s="985"/>
      <c r="G512" s="984" t="e">
        <f>+VLOOKUP(Data_Validation!$A511,BV_Data_An_Cour!$M:$R,6,0)</f>
        <v>#N/A</v>
      </c>
      <c r="H512" s="159"/>
    </row>
    <row r="513" spans="1:29" ht="15" customHeight="1">
      <c r="A513" s="1102" t="s">
        <v>2887</v>
      </c>
      <c r="B513" s="163" t="s">
        <v>2886</v>
      </c>
      <c r="C513" s="934"/>
      <c r="D513" s="934"/>
      <c r="E513" s="984"/>
      <c r="F513" s="985"/>
      <c r="G513" s="984" t="s">
        <v>1</v>
      </c>
      <c r="H513" s="159"/>
    </row>
    <row r="514" spans="1:29" s="564" customFormat="1" ht="15" customHeight="1">
      <c r="A514" s="162" t="s">
        <v>2474</v>
      </c>
      <c r="B514" s="163" t="s">
        <v>2473</v>
      </c>
      <c r="C514" s="934" t="s">
        <v>75</v>
      </c>
      <c r="D514" s="934" t="s">
        <v>96</v>
      </c>
      <c r="E514" s="987" t="s">
        <v>1911</v>
      </c>
      <c r="F514" s="987"/>
      <c r="G514" s="984" t="e">
        <f>+VLOOKUP(Data_Validation!$A512,BV_Data_An_Cour!$M:$R,6,0)</f>
        <v>#N/A</v>
      </c>
      <c r="H514" s="159"/>
    </row>
    <row r="515" spans="1:29" ht="15" customHeight="1">
      <c r="A515" s="162" t="s">
        <v>2476</v>
      </c>
      <c r="B515" s="163" t="s">
        <v>2475</v>
      </c>
      <c r="C515" s="934" t="s">
        <v>75</v>
      </c>
      <c r="D515" s="934" t="s">
        <v>89</v>
      </c>
      <c r="E515" s="987" t="s">
        <v>1911</v>
      </c>
      <c r="F515" s="987"/>
      <c r="G515" s="984" t="e">
        <f>+VLOOKUP(Data_Validation!$A513,BV_Data_An_Cour!$M:$R,6,0)</f>
        <v>#N/A</v>
      </c>
      <c r="H515" s="159"/>
    </row>
    <row r="516" spans="1:29" ht="15" customHeight="1">
      <c r="A516" s="996" t="s">
        <v>2478</v>
      </c>
      <c r="B516" s="999" t="s">
        <v>2477</v>
      </c>
      <c r="C516" s="995" t="s">
        <v>75</v>
      </c>
      <c r="D516" s="934" t="s">
        <v>89</v>
      </c>
      <c r="E516" s="987" t="s">
        <v>1911</v>
      </c>
      <c r="F516" s="987"/>
      <c r="G516" s="984" t="e">
        <f>+VLOOKUP(Data_Validation!$A514,BV_Data_An_Cour!$M:$R,6,0)</f>
        <v>#N/A</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162" t="s">
        <v>2480</v>
      </c>
      <c r="B517" s="163" t="s">
        <v>2479</v>
      </c>
      <c r="C517" s="934" t="s">
        <v>75</v>
      </c>
      <c r="D517" s="934" t="s">
        <v>89</v>
      </c>
      <c r="E517" s="987" t="s">
        <v>1911</v>
      </c>
      <c r="F517" s="987"/>
      <c r="G517" s="984" t="e">
        <f>+VLOOKUP(Data_Validation!$A515,BV_Data_An_Cour!$M:$R,6,0)</f>
        <v>#N/A</v>
      </c>
      <c r="H517" s="159"/>
    </row>
    <row r="518" spans="1:29" ht="15" customHeight="1">
      <c r="A518" s="162" t="s">
        <v>2482</v>
      </c>
      <c r="B518" s="163" t="s">
        <v>2481</v>
      </c>
      <c r="C518" s="1369" t="s">
        <v>75</v>
      </c>
      <c r="D518" s="934" t="s">
        <v>89</v>
      </c>
      <c r="E518" s="987" t="s">
        <v>1911</v>
      </c>
      <c r="F518" s="987"/>
      <c r="G518" s="984" t="e">
        <f>+VLOOKUP(Data_Validation!$A516,BV_Data_An_Cour!$M:$R,6,0)</f>
        <v>#N/A</v>
      </c>
      <c r="H518" s="159"/>
    </row>
    <row r="519" spans="1:29" ht="15" customHeight="1">
      <c r="A519" s="162" t="s">
        <v>2484</v>
      </c>
      <c r="B519" s="163" t="s">
        <v>2483</v>
      </c>
      <c r="C519" s="934" t="s">
        <v>75</v>
      </c>
      <c r="D519" s="934" t="s">
        <v>89</v>
      </c>
      <c r="E519" s="987" t="s">
        <v>1911</v>
      </c>
      <c r="F519" s="987"/>
      <c r="G519" s="984" t="e">
        <f>+VLOOKUP(Data_Validation!$A517,BV_Data_An_Cour!$M:$R,6,0)</f>
        <v>#N/A</v>
      </c>
      <c r="H519" s="159"/>
    </row>
    <row r="520" spans="1:29" ht="15" customHeight="1">
      <c r="A520" s="162" t="s">
        <v>2486</v>
      </c>
      <c r="B520" s="163" t="s">
        <v>2485</v>
      </c>
      <c r="C520" s="934" t="s">
        <v>75</v>
      </c>
      <c r="D520" s="934" t="s">
        <v>89</v>
      </c>
      <c r="E520" s="987" t="s">
        <v>1911</v>
      </c>
      <c r="F520" s="987"/>
      <c r="G520" s="984" t="e">
        <f>+VLOOKUP(Data_Validation!$A518,BV_Data_An_Cour!$M:$R,6,0)</f>
        <v>#N/A</v>
      </c>
      <c r="H520" s="159"/>
    </row>
    <row r="521" spans="1:29" ht="15" customHeight="1">
      <c r="A521" s="162" t="s">
        <v>2488</v>
      </c>
      <c r="B521" s="163" t="s">
        <v>2487</v>
      </c>
      <c r="C521" s="934" t="s">
        <v>75</v>
      </c>
      <c r="D521" s="934" t="s">
        <v>89</v>
      </c>
      <c r="E521" s="987" t="s">
        <v>1911</v>
      </c>
      <c r="F521" s="987"/>
      <c r="G521" s="984" t="e">
        <f>+VLOOKUP(Data_Validation!$A519,BV_Data_An_Cour!$M:$R,6,0)</f>
        <v>#N/A</v>
      </c>
      <c r="H521" s="159"/>
    </row>
    <row r="522" spans="1:29" ht="15" customHeight="1">
      <c r="A522" s="162" t="s">
        <v>2896</v>
      </c>
      <c r="B522" s="163" t="s">
        <v>2899</v>
      </c>
      <c r="C522" s="934" t="s">
        <v>75</v>
      </c>
      <c r="D522" s="934" t="s">
        <v>90</v>
      </c>
      <c r="E522" s="987" t="s">
        <v>1911</v>
      </c>
      <c r="F522" s="987"/>
      <c r="G522" s="984" t="e">
        <f>+VLOOKUP(Data_Validation!$A520,BV_Data_An_Cour!$M:$R,6,0)</f>
        <v>#N/A</v>
      </c>
      <c r="H522" s="159"/>
    </row>
    <row r="523" spans="1:29" ht="15" customHeight="1">
      <c r="A523" s="162" t="s">
        <v>2490</v>
      </c>
      <c r="B523" s="163" t="s">
        <v>2489</v>
      </c>
      <c r="C523" s="934" t="s">
        <v>75</v>
      </c>
      <c r="D523" s="934" t="s">
        <v>90</v>
      </c>
      <c r="E523" s="987" t="s">
        <v>1911</v>
      </c>
      <c r="F523" s="987"/>
      <c r="G523" s="984" t="e">
        <f>+VLOOKUP(Data_Validation!$A521,BV_Data_An_Cour!$M:$R,6,0)</f>
        <v>#N/A</v>
      </c>
      <c r="H523" s="159"/>
    </row>
    <row r="524" spans="1:29" ht="15" customHeight="1">
      <c r="A524" s="929" t="s">
        <v>2884</v>
      </c>
      <c r="B524" s="165" t="s">
        <v>2883</v>
      </c>
      <c r="C524" s="934" t="s">
        <v>75</v>
      </c>
      <c r="D524" s="934" t="s">
        <v>90</v>
      </c>
      <c r="E524" s="987" t="s">
        <v>1911</v>
      </c>
      <c r="F524" s="985"/>
      <c r="G524" s="984" t="e">
        <f>+VLOOKUP(Data_Validation!$A558,BV_Data_An_Cour!$M:$R,6,0)</f>
        <v>#N/A</v>
      </c>
      <c r="H524" s="159"/>
    </row>
    <row r="525" spans="1:29" ht="15" customHeight="1">
      <c r="A525" s="162" t="s">
        <v>2492</v>
      </c>
      <c r="B525" s="163" t="s">
        <v>2491</v>
      </c>
      <c r="C525" s="934" t="s">
        <v>75</v>
      </c>
      <c r="D525" s="934" t="s">
        <v>89</v>
      </c>
      <c r="E525" s="987" t="s">
        <v>1911</v>
      </c>
      <c r="F525" s="987"/>
      <c r="G525" s="984" t="e">
        <f>+VLOOKUP(Data_Validation!$A522,BV_Data_An_Cour!$M:$R,6,0)</f>
        <v>#N/A</v>
      </c>
      <c r="H525" s="159"/>
    </row>
    <row r="526" spans="1:29" ht="15" customHeight="1">
      <c r="A526" s="163" t="s">
        <v>2494</v>
      </c>
      <c r="B526" s="163" t="s">
        <v>2493</v>
      </c>
      <c r="C526" s="934" t="s">
        <v>75</v>
      </c>
      <c r="D526" s="934" t="s">
        <v>90</v>
      </c>
      <c r="E526" s="987" t="s">
        <v>1911</v>
      </c>
      <c r="F526" s="987"/>
      <c r="G526" s="984" t="e">
        <f>+VLOOKUP(Data_Validation!$A523,BV_Data_An_Cour!$M:$R,6,0)</f>
        <v>#N/A</v>
      </c>
      <c r="H526" s="159"/>
    </row>
    <row r="527" spans="1:29" ht="15" customHeight="1">
      <c r="A527" s="162" t="s">
        <v>2496</v>
      </c>
      <c r="B527" s="163" t="s">
        <v>2495</v>
      </c>
      <c r="C527" s="934" t="s">
        <v>75</v>
      </c>
      <c r="D527" s="934" t="s">
        <v>89</v>
      </c>
      <c r="E527" s="987" t="s">
        <v>1911</v>
      </c>
      <c r="F527" s="987"/>
      <c r="G527" s="984" t="e">
        <f>+VLOOKUP(Data_Validation!$A524,BV_Data_An_Cour!$M:$R,6,0)</f>
        <v>#N/A</v>
      </c>
      <c r="H527" s="159"/>
    </row>
    <row r="528" spans="1:29" ht="15" customHeight="1">
      <c r="A528" s="162" t="s">
        <v>2499</v>
      </c>
      <c r="B528" s="163" t="s">
        <v>2498</v>
      </c>
      <c r="C528" s="934" t="s">
        <v>75</v>
      </c>
      <c r="D528" s="934" t="s">
        <v>95</v>
      </c>
      <c r="E528" s="987" t="s">
        <v>1911</v>
      </c>
      <c r="F528" s="987"/>
      <c r="G528" s="984" t="e">
        <f>+VLOOKUP(Data_Validation!$A525,BV_Data_An_Cour!$M:$R,6,0)</f>
        <v>#N/A</v>
      </c>
      <c r="H528" s="159"/>
    </row>
    <row r="529" spans="1:11" ht="15" customHeight="1">
      <c r="A529" s="163" t="s">
        <v>2501</v>
      </c>
      <c r="B529" s="163" t="s">
        <v>2500</v>
      </c>
      <c r="C529" s="934" t="s">
        <v>75</v>
      </c>
      <c r="D529" s="934" t="s">
        <v>94</v>
      </c>
      <c r="E529" s="987" t="s">
        <v>1911</v>
      </c>
      <c r="F529" s="987"/>
      <c r="G529" s="984" t="e">
        <f>+VLOOKUP(Data_Validation!$A526,BV_Data_An_Cour!$M:$R,6,0)</f>
        <v>#N/A</v>
      </c>
      <c r="H529" s="159"/>
    </row>
    <row r="530" spans="1:11" ht="15" customHeight="1">
      <c r="A530" s="162" t="s">
        <v>3346</v>
      </c>
      <c r="B530" s="163" t="s">
        <v>3349</v>
      </c>
      <c r="C530" s="934" t="s">
        <v>75</v>
      </c>
      <c r="D530" s="934" t="s">
        <v>89</v>
      </c>
      <c r="E530" s="987" t="s">
        <v>1911</v>
      </c>
      <c r="F530" s="987"/>
      <c r="G530" s="984" t="e">
        <f>+VLOOKUP(Data_Validation!$A527,BV_Data_An_Cour!$M:$R,6,0)</f>
        <v>#N/A</v>
      </c>
      <c r="H530" s="159"/>
    </row>
    <row r="531" spans="1:11" ht="15" customHeight="1">
      <c r="A531" s="162" t="s">
        <v>2503</v>
      </c>
      <c r="B531" s="163" t="s">
        <v>2502</v>
      </c>
      <c r="C531" s="934" t="s">
        <v>144</v>
      </c>
      <c r="D531" s="934" t="s">
        <v>146</v>
      </c>
      <c r="E531" s="987" t="s">
        <v>1911</v>
      </c>
      <c r="F531" s="987"/>
      <c r="G531" s="984" t="e">
        <f>+VLOOKUP(Data_Validation!$A528,BV_Data_An_Cour!$M:$R,6,0)</f>
        <v>#N/A</v>
      </c>
      <c r="H531" s="159"/>
    </row>
    <row r="532" spans="1:11" ht="15" customHeight="1">
      <c r="A532" s="162" t="s">
        <v>2505</v>
      </c>
      <c r="B532" s="163" t="s">
        <v>2504</v>
      </c>
      <c r="C532" s="934" t="s">
        <v>144</v>
      </c>
      <c r="D532" s="934" t="s">
        <v>147</v>
      </c>
      <c r="E532" s="987" t="s">
        <v>1911</v>
      </c>
      <c r="F532" s="987"/>
      <c r="G532" s="984" t="e">
        <f>+VLOOKUP(Data_Validation!$A529,BV_Data_An_Cour!$M:$R,6,0)</f>
        <v>#N/A</v>
      </c>
      <c r="H532" s="159"/>
    </row>
    <row r="533" spans="1:11" ht="15" customHeight="1">
      <c r="A533" s="162" t="s">
        <v>2507</v>
      </c>
      <c r="B533" s="163" t="s">
        <v>2506</v>
      </c>
      <c r="C533" s="934" t="s">
        <v>144</v>
      </c>
      <c r="D533" s="934" t="s">
        <v>147</v>
      </c>
      <c r="E533" s="987" t="s">
        <v>1911</v>
      </c>
      <c r="F533" s="987"/>
      <c r="G533" s="984" t="e">
        <f>+VLOOKUP(Data_Validation!$A530,BV_Data_An_Cour!$M:$R,6,0)</f>
        <v>#N/A</v>
      </c>
      <c r="H533" s="159"/>
    </row>
    <row r="534" spans="1:11" ht="15" customHeight="1">
      <c r="A534" s="162" t="s">
        <v>2509</v>
      </c>
      <c r="B534" s="163" t="s">
        <v>2508</v>
      </c>
      <c r="C534" s="934" t="s">
        <v>144</v>
      </c>
      <c r="D534" s="934" t="s">
        <v>150</v>
      </c>
      <c r="E534" s="987" t="s">
        <v>1911</v>
      </c>
      <c r="F534" s="987"/>
      <c r="G534" s="984" t="e">
        <f>+VLOOKUP(Data_Validation!$A531,BV_Data_An_Cour!$M:$R,6,0)</f>
        <v>#N/A</v>
      </c>
      <c r="H534" s="159"/>
    </row>
    <row r="535" spans="1:11" s="564" customFormat="1" ht="15" customHeight="1">
      <c r="A535" s="162" t="s">
        <v>2510</v>
      </c>
      <c r="B535" s="163" t="s">
        <v>2004</v>
      </c>
      <c r="C535" s="934" t="s">
        <v>155</v>
      </c>
      <c r="D535" s="934" t="s">
        <v>159</v>
      </c>
      <c r="E535" s="987" t="s">
        <v>1911</v>
      </c>
      <c r="F535" s="987"/>
      <c r="G535" s="984" t="e">
        <f>+VLOOKUP(Data_Validation!$A532,BV_Data_An_Cour!$M:$R,6,0)</f>
        <v>#N/A</v>
      </c>
      <c r="H535" s="159"/>
    </row>
    <row r="536" spans="1:11" ht="15" customHeight="1">
      <c r="A536" s="992" t="s">
        <v>2512</v>
      </c>
      <c r="B536" s="993" t="s">
        <v>2511</v>
      </c>
      <c r="C536" s="934" t="s">
        <v>155</v>
      </c>
      <c r="D536" s="934" t="s">
        <v>163</v>
      </c>
      <c r="E536" s="987" t="s">
        <v>1911</v>
      </c>
      <c r="F536" s="987"/>
      <c r="G536" s="984" t="e">
        <f>+VLOOKUP(Data_Validation!$A533,BV_Data_An_Cour!$M:$R,6,0)</f>
        <v>#N/A</v>
      </c>
      <c r="H536" s="159"/>
    </row>
    <row r="537" spans="1:11" ht="15" customHeight="1">
      <c r="A537" s="162" t="s">
        <v>2513</v>
      </c>
      <c r="B537" s="163" t="s">
        <v>2034</v>
      </c>
      <c r="C537" s="934" t="s">
        <v>155</v>
      </c>
      <c r="D537" s="934" t="s">
        <v>161</v>
      </c>
      <c r="E537" s="987" t="s">
        <v>1911</v>
      </c>
      <c r="F537" s="987"/>
      <c r="G537" s="984" t="e">
        <f>+VLOOKUP(Data_Validation!$A534,BV_Data_An_Cour!$M:$R,6,0)</f>
        <v>#N/A</v>
      </c>
      <c r="H537" s="159"/>
    </row>
    <row r="538" spans="1:11" ht="15" customHeight="1">
      <c r="A538" s="162" t="s">
        <v>2514</v>
      </c>
      <c r="B538" s="163" t="s">
        <v>2044</v>
      </c>
      <c r="C538" s="934" t="s">
        <v>155</v>
      </c>
      <c r="D538" s="934" t="s">
        <v>162</v>
      </c>
      <c r="E538" s="987" t="s">
        <v>1911</v>
      </c>
      <c r="F538" s="987"/>
      <c r="G538" s="984" t="e">
        <f>+VLOOKUP(Data_Validation!$A535,BV_Data_An_Cour!$M:$R,6,0)</f>
        <v>#N/A</v>
      </c>
      <c r="H538" s="159"/>
    </row>
    <row r="539" spans="1:11" ht="15" customHeight="1">
      <c r="A539" s="162" t="s">
        <v>2516</v>
      </c>
      <c r="B539" s="163" t="s">
        <v>2515</v>
      </c>
      <c r="C539" s="934" t="s">
        <v>155</v>
      </c>
      <c r="D539" s="934" t="s">
        <v>159</v>
      </c>
      <c r="E539" s="987" t="s">
        <v>1911</v>
      </c>
      <c r="F539" s="987"/>
      <c r="G539" s="984" t="e">
        <f>+VLOOKUP(Data_Validation!$A536,BV_Data_An_Cour!$M:$R,6,0)</f>
        <v>#N/A</v>
      </c>
      <c r="H539" s="159"/>
    </row>
    <row r="540" spans="1:11" ht="15" customHeight="1">
      <c r="A540" s="162" t="s">
        <v>2517</v>
      </c>
      <c r="B540" s="163" t="s">
        <v>2064</v>
      </c>
      <c r="C540" s="934" t="s">
        <v>175</v>
      </c>
      <c r="D540" s="934" t="s">
        <v>187</v>
      </c>
      <c r="E540" s="987" t="s">
        <v>1911</v>
      </c>
      <c r="F540" s="987"/>
      <c r="G540" s="984" t="e">
        <f>+VLOOKUP(Data_Validation!$A537,BV_Data_An_Cour!$M:$R,6,0)</f>
        <v>#N/A</v>
      </c>
      <c r="H540" s="159"/>
    </row>
    <row r="541" spans="1:11" ht="15" customHeight="1">
      <c r="A541" s="992" t="s">
        <v>2518</v>
      </c>
      <c r="B541" s="999" t="s">
        <v>2137</v>
      </c>
      <c r="C541" s="995" t="s">
        <v>155</v>
      </c>
      <c r="D541" s="934" t="s">
        <v>167</v>
      </c>
      <c r="E541" s="987" t="s">
        <v>1911</v>
      </c>
      <c r="F541" s="987"/>
      <c r="G541" s="984" t="e">
        <f>+VLOOKUP(Data_Validation!$A538,BV_Data_An_Cour!$M:$R,6,0)</f>
        <v>#N/A</v>
      </c>
      <c r="H541" s="159"/>
    </row>
    <row r="542" spans="1:11" s="564" customFormat="1" ht="15" customHeight="1">
      <c r="A542" s="992" t="s">
        <v>2520</v>
      </c>
      <c r="B542" s="999" t="s">
        <v>2519</v>
      </c>
      <c r="C542" s="995" t="s">
        <v>155</v>
      </c>
      <c r="D542" s="934" t="s">
        <v>167</v>
      </c>
      <c r="E542" s="987" t="s">
        <v>1911</v>
      </c>
      <c r="F542" s="987"/>
      <c r="G542" s="984" t="e">
        <f>+VLOOKUP(Data_Validation!$A539,BV_Data_An_Cour!$M:$R,6,0)</f>
        <v>#N/A</v>
      </c>
      <c r="H542" s="159"/>
    </row>
    <row r="543" spans="1:11" ht="15" customHeight="1">
      <c r="A543" s="162" t="s">
        <v>2522</v>
      </c>
      <c r="B543" s="163" t="s">
        <v>2521</v>
      </c>
      <c r="C543" s="934" t="s">
        <v>155</v>
      </c>
      <c r="D543" s="934" t="s">
        <v>167</v>
      </c>
      <c r="E543" s="987" t="s">
        <v>1911</v>
      </c>
      <c r="F543" s="987"/>
      <c r="G543" s="984" t="e">
        <f>+VLOOKUP(Data_Validation!$A540,BV_Data_An_Cour!$M:$R,6,0)</f>
        <v>#N/A</v>
      </c>
      <c r="H543" s="159"/>
    </row>
    <row r="544" spans="1:11" ht="15" customHeight="1">
      <c r="A544" s="992" t="s">
        <v>3251</v>
      </c>
      <c r="B544" s="1000" t="s">
        <v>3250</v>
      </c>
      <c r="C544" s="1369" t="s">
        <v>171</v>
      </c>
      <c r="D544" s="934" t="s">
        <v>172</v>
      </c>
      <c r="E544" s="987" t="s">
        <v>1911</v>
      </c>
      <c r="F544" s="987"/>
      <c r="G544" s="984" t="e">
        <f>+VLOOKUP(Data_Validation!$A542,BV_Data_An_Cour!$M:$R,6,0)</f>
        <v>#N/A</v>
      </c>
      <c r="H544" s="159"/>
      <c r="K544" s="2"/>
    </row>
    <row r="545" spans="1:11" ht="15" customHeight="1">
      <c r="A545" s="992" t="s">
        <v>2524</v>
      </c>
      <c r="B545" s="999" t="s">
        <v>2523</v>
      </c>
      <c r="C545" s="995" t="s">
        <v>171</v>
      </c>
      <c r="D545" s="934" t="s">
        <v>172</v>
      </c>
      <c r="E545" s="987" t="s">
        <v>1911</v>
      </c>
      <c r="F545" s="987"/>
      <c r="G545" s="984" t="e">
        <f>+VLOOKUP(Data_Validation!$A541,BV_Data_An_Cour!$M:$R,6,0)</f>
        <v>#N/A</v>
      </c>
      <c r="H545" s="159"/>
    </row>
    <row r="546" spans="1:11" ht="15" customHeight="1">
      <c r="A546" s="162" t="s">
        <v>2526</v>
      </c>
      <c r="B546" s="999" t="s">
        <v>2525</v>
      </c>
      <c r="C546" s="995" t="s">
        <v>171</v>
      </c>
      <c r="D546" s="934" t="s">
        <v>172</v>
      </c>
      <c r="E546" s="987" t="s">
        <v>1911</v>
      </c>
      <c r="F546" s="987"/>
      <c r="G546" s="984" t="e">
        <f>+VLOOKUP(Data_Validation!$A543,BV_Data_An_Cour!$M:$R,6,0)</f>
        <v>#N/A</v>
      </c>
      <c r="H546" s="159"/>
    </row>
    <row r="547" spans="1:11" ht="15" customHeight="1">
      <c r="A547" s="163" t="s">
        <v>2528</v>
      </c>
      <c r="B547" s="163" t="s">
        <v>2527</v>
      </c>
      <c r="C547" s="934" t="s">
        <v>171</v>
      </c>
      <c r="D547" s="934" t="s">
        <v>172</v>
      </c>
      <c r="E547" s="987" t="s">
        <v>1911</v>
      </c>
      <c r="F547" s="987"/>
      <c r="G547" s="984" t="e">
        <f>+VLOOKUP(Data_Validation!$A544,BV_Data_An_Cour!$M:$R,6,0)</f>
        <v>#N/A</v>
      </c>
      <c r="H547" s="159"/>
    </row>
    <row r="548" spans="1:11" ht="15" customHeight="1">
      <c r="A548" s="162" t="s">
        <v>2530</v>
      </c>
      <c r="B548" s="163" t="s">
        <v>2529</v>
      </c>
      <c r="C548" s="1369" t="s">
        <v>175</v>
      </c>
      <c r="D548" s="934" t="s">
        <v>177</v>
      </c>
      <c r="E548" s="987" t="s">
        <v>1911</v>
      </c>
      <c r="F548" s="987"/>
      <c r="G548" s="984" t="e">
        <f>+VLOOKUP(Data_Validation!$A545,BV_Data_An_Cour!$M:$R,6,0)</f>
        <v>#N/A</v>
      </c>
      <c r="H548" s="159"/>
    </row>
    <row r="549" spans="1:11" ht="15" customHeight="1">
      <c r="A549" s="162" t="s">
        <v>2532</v>
      </c>
      <c r="B549" s="163" t="s">
        <v>2531</v>
      </c>
      <c r="C549" s="1369" t="s">
        <v>175</v>
      </c>
      <c r="D549" s="934" t="s">
        <v>179</v>
      </c>
      <c r="E549" s="987" t="s">
        <v>1911</v>
      </c>
      <c r="F549" s="985"/>
      <c r="G549" s="984" t="e">
        <f>+VLOOKUP(Data_Validation!$A546,BV_Data_An_Cour!$M:$R,6,0)</f>
        <v>#N/A</v>
      </c>
      <c r="H549" s="159"/>
    </row>
    <row r="550" spans="1:11" ht="15" customHeight="1">
      <c r="A550" s="162" t="s">
        <v>2534</v>
      </c>
      <c r="B550" s="163" t="s">
        <v>2533</v>
      </c>
      <c r="C550" s="934" t="s">
        <v>175</v>
      </c>
      <c r="D550" s="934" t="s">
        <v>180</v>
      </c>
      <c r="E550" s="987" t="s">
        <v>1911</v>
      </c>
      <c r="F550" s="985"/>
      <c r="G550" s="984" t="e">
        <f>+VLOOKUP(Data_Validation!$A547,BV_Data_An_Cour!$M:$R,6,0)</f>
        <v>#N/A</v>
      </c>
      <c r="H550" s="159"/>
    </row>
    <row r="551" spans="1:11" ht="15" customHeight="1">
      <c r="A551" s="163" t="s">
        <v>2536</v>
      </c>
      <c r="B551" s="163" t="s">
        <v>2535</v>
      </c>
      <c r="C551" s="934" t="s">
        <v>175</v>
      </c>
      <c r="D551" s="934" t="s">
        <v>177</v>
      </c>
      <c r="E551" s="987" t="s">
        <v>1911</v>
      </c>
      <c r="F551" s="985"/>
      <c r="G551" s="984" t="e">
        <f>+VLOOKUP(Data_Validation!$A548,BV_Data_An_Cour!$M:$R,6,0)</f>
        <v>#N/A</v>
      </c>
      <c r="H551" s="159"/>
    </row>
    <row r="552" spans="1:11" ht="15" customHeight="1">
      <c r="A552" s="993" t="s">
        <v>2916</v>
      </c>
      <c r="B552" s="993" t="s">
        <v>2915</v>
      </c>
      <c r="C552" s="934" t="s">
        <v>175</v>
      </c>
      <c r="D552" s="934" t="s">
        <v>180</v>
      </c>
      <c r="E552" s="987" t="s">
        <v>1911</v>
      </c>
      <c r="F552" s="985"/>
      <c r="G552" s="984" t="e">
        <f>+VLOOKUP(Data_Validation!$A549,BV_Data_An_Cour!$M:$R,6,0)</f>
        <v>#N/A</v>
      </c>
      <c r="H552" s="159"/>
    </row>
    <row r="553" spans="1:11" ht="15" customHeight="1">
      <c r="A553" s="992" t="s">
        <v>2538</v>
      </c>
      <c r="B553" s="993" t="s">
        <v>2537</v>
      </c>
      <c r="C553" s="934" t="s">
        <v>175</v>
      </c>
      <c r="D553" s="934" t="s">
        <v>177</v>
      </c>
      <c r="E553" s="987" t="s">
        <v>1911</v>
      </c>
      <c r="F553" s="985"/>
      <c r="G553" s="984" t="e">
        <f>+VLOOKUP(Data_Validation!$A550,BV_Data_An_Cour!$M:$R,6,0)</f>
        <v>#N/A</v>
      </c>
      <c r="H553" s="159"/>
    </row>
    <row r="554" spans="1:11" ht="15" customHeight="1">
      <c r="A554" s="992" t="s">
        <v>2540</v>
      </c>
      <c r="B554" s="993" t="s">
        <v>2539</v>
      </c>
      <c r="C554" s="934" t="s">
        <v>175</v>
      </c>
      <c r="D554" s="934" t="s">
        <v>178</v>
      </c>
      <c r="E554" s="987" t="s">
        <v>1911</v>
      </c>
      <c r="F554" s="985"/>
      <c r="G554" s="984" t="e">
        <f>+VLOOKUP(Data_Validation!$A551,BV_Data_An_Cour!$M:$R,6,0)</f>
        <v>#N/A</v>
      </c>
      <c r="H554" s="159"/>
    </row>
    <row r="555" spans="1:11" ht="15" customHeight="1">
      <c r="A555" s="932" t="s">
        <v>2542</v>
      </c>
      <c r="B555" s="937" t="s">
        <v>2541</v>
      </c>
      <c r="C555" s="934" t="s">
        <v>175</v>
      </c>
      <c r="D555" s="934" t="s">
        <v>178</v>
      </c>
      <c r="E555" s="987" t="s">
        <v>1911</v>
      </c>
      <c r="F555" s="985"/>
      <c r="G555" s="984" t="e">
        <f>+VLOOKUP(Data_Validation!$A552,BV_Data_An_Cour!$M:$R,6,0)</f>
        <v>#N/A</v>
      </c>
      <c r="H555" s="159"/>
    </row>
    <row r="556" spans="1:11" ht="15" customHeight="1">
      <c r="A556" s="932" t="s">
        <v>2544</v>
      </c>
      <c r="B556" s="937" t="s">
        <v>2543</v>
      </c>
      <c r="C556" s="934" t="s">
        <v>175</v>
      </c>
      <c r="D556" s="934" t="s">
        <v>178</v>
      </c>
      <c r="E556" s="987" t="s">
        <v>1911</v>
      </c>
      <c r="F556" s="985"/>
      <c r="G556" s="984" t="e">
        <f>+VLOOKUP(Data_Validation!$A553,BV_Data_An_Cour!$M:$R,6,0)</f>
        <v>#N/A</v>
      </c>
      <c r="H556" s="159"/>
    </row>
    <row r="557" spans="1:11" ht="15" customHeight="1">
      <c r="A557" s="932" t="s">
        <v>2546</v>
      </c>
      <c r="B557" s="937" t="s">
        <v>2545</v>
      </c>
      <c r="C557" s="934" t="s">
        <v>175</v>
      </c>
      <c r="D557" s="934" t="s">
        <v>181</v>
      </c>
      <c r="E557" s="987" t="s">
        <v>1911</v>
      </c>
      <c r="F557" s="985"/>
      <c r="G557" s="984" t="e">
        <f>+VLOOKUP(Data_Validation!$A554,BV_Data_An_Cour!$M:$R,6,0)</f>
        <v>#N/A</v>
      </c>
      <c r="H557" s="159"/>
      <c r="K557" s="2"/>
    </row>
    <row r="558" spans="1:11" ht="15" customHeight="1">
      <c r="A558" s="932" t="s">
        <v>2548</v>
      </c>
      <c r="B558" s="937" t="s">
        <v>2547</v>
      </c>
      <c r="C558" s="934" t="s">
        <v>175</v>
      </c>
      <c r="D558" s="934" t="s">
        <v>182</v>
      </c>
      <c r="E558" s="987" t="s">
        <v>1911</v>
      </c>
      <c r="F558" s="985"/>
      <c r="G558" s="984" t="e">
        <f>+VLOOKUP(Data_Validation!$A555,BV_Data_An_Cour!$M:$R,6,0)</f>
        <v>#N/A</v>
      </c>
      <c r="H558" s="159"/>
    </row>
    <row r="559" spans="1:11" ht="15" customHeight="1">
      <c r="A559" s="932" t="s">
        <v>2549</v>
      </c>
      <c r="B559" s="937" t="s">
        <v>2027</v>
      </c>
      <c r="C559" s="934" t="s">
        <v>175</v>
      </c>
      <c r="D559" s="934" t="s">
        <v>186</v>
      </c>
      <c r="E559" s="987" t="s">
        <v>1911</v>
      </c>
      <c r="F559" s="985"/>
      <c r="G559" s="984" t="e">
        <f>+VLOOKUP(Data_Validation!$A556,BV_Data_An_Cour!$M:$R,6,0)</f>
        <v>#N/A</v>
      </c>
      <c r="H559" s="159"/>
    </row>
    <row r="560" spans="1:11" ht="15" customHeight="1">
      <c r="A560" s="1367" t="s">
        <v>3422</v>
      </c>
      <c r="B560" s="1368" t="s">
        <v>3421</v>
      </c>
      <c r="C560" s="934" t="s">
        <v>75</v>
      </c>
      <c r="D560" s="934"/>
      <c r="E560" s="987" t="s">
        <v>1911</v>
      </c>
      <c r="F560" s="985"/>
      <c r="G560" s="984" t="e">
        <f>+VLOOKUP(Data_Validation!$A560,BV_Data_An_Cour!$M:$R,6,0)</f>
        <v>#N/A</v>
      </c>
      <c r="H560" s="159"/>
    </row>
    <row r="561" spans="1:8" ht="15" customHeight="1">
      <c r="A561" s="1367" t="s">
        <v>3423</v>
      </c>
      <c r="B561" s="1368" t="s">
        <v>2077</v>
      </c>
      <c r="C561" s="934" t="s">
        <v>144</v>
      </c>
      <c r="D561" s="934"/>
      <c r="E561" s="987" t="s">
        <v>1911</v>
      </c>
      <c r="F561" s="985"/>
      <c r="G561" s="984" t="e">
        <f>+VLOOKUP(Data_Validation!$A561,BV_Data_An_Cour!$M:$R,6,0)</f>
        <v>#N/A</v>
      </c>
      <c r="H561" s="159"/>
    </row>
    <row r="562" spans="1:8" ht="15" customHeight="1">
      <c r="A562" s="1367" t="s">
        <v>3425</v>
      </c>
      <c r="B562" s="1368" t="s">
        <v>3424</v>
      </c>
      <c r="C562" s="934" t="s">
        <v>144</v>
      </c>
      <c r="D562" s="934"/>
      <c r="E562" s="987" t="s">
        <v>1911</v>
      </c>
      <c r="F562" s="985"/>
      <c r="G562" s="984" t="e">
        <f>+VLOOKUP(Data_Validation!$A562,BV_Data_An_Cour!$M:$R,6,0)</f>
        <v>#N/A</v>
      </c>
      <c r="H562" s="159"/>
    </row>
    <row r="563" spans="1:8" ht="15" customHeight="1">
      <c r="A563" s="1367" t="s">
        <v>3427</v>
      </c>
      <c r="B563" s="1368" t="s">
        <v>3426</v>
      </c>
      <c r="C563" s="934" t="s">
        <v>144</v>
      </c>
      <c r="D563" s="934"/>
      <c r="E563" s="987" t="s">
        <v>1911</v>
      </c>
      <c r="F563" s="985"/>
      <c r="G563" s="984" t="e">
        <f>+VLOOKUP(Data_Validation!$A563,BV_Data_An_Cour!$M:$R,6,0)</f>
        <v>#N/A</v>
      </c>
      <c r="H563" s="159"/>
    </row>
    <row r="564" spans="1:8" ht="15" customHeight="1">
      <c r="A564" s="1367" t="s">
        <v>3429</v>
      </c>
      <c r="B564" s="1368" t="s">
        <v>3428</v>
      </c>
      <c r="C564" s="934" t="s">
        <v>144</v>
      </c>
      <c r="D564" s="934"/>
      <c r="E564" s="987" t="s">
        <v>1911</v>
      </c>
      <c r="F564" s="985"/>
      <c r="G564" s="984" t="e">
        <f>+VLOOKUP(Data_Validation!$A564,BV_Data_An_Cour!$M:$R,6,0)</f>
        <v>#N/A</v>
      </c>
      <c r="H564" s="159"/>
    </row>
    <row r="565" spans="1:8" ht="15" customHeight="1">
      <c r="A565" s="929"/>
      <c r="B565" s="165"/>
      <c r="C565" s="934"/>
      <c r="D565" s="934"/>
      <c r="E565" s="984"/>
      <c r="F565" s="985"/>
      <c r="G565" s="984">
        <f>+VLOOKUP(Data_Validation!$A565,BV_Data_An_Cour!$M:$R,6,0)</f>
        <v>0</v>
      </c>
      <c r="H565" s="159"/>
    </row>
    <row r="566" spans="1:8" ht="15" customHeight="1">
      <c r="A566" s="161"/>
      <c r="B566" s="165"/>
      <c r="C566" s="934"/>
      <c r="D566" s="934"/>
      <c r="E566" s="984"/>
      <c r="F566" s="985"/>
      <c r="G566" s="984">
        <f>+VLOOKUP(Data_Validation!$A566,BV_Data_An_Cour!$M:$R,6,0)</f>
        <v>0</v>
      </c>
      <c r="H566" s="159"/>
    </row>
    <row r="567" spans="1:8" ht="15" customHeight="1">
      <c r="A567" s="929"/>
      <c r="B567" s="165"/>
      <c r="C567" s="934"/>
      <c r="D567" s="934"/>
      <c r="E567" s="984"/>
      <c r="F567" s="985"/>
      <c r="G567" s="984">
        <f>+VLOOKUP(Data_Validation!$A567,BV_Data_An_Cour!$M:$R,6,0)</f>
        <v>0</v>
      </c>
      <c r="H567" s="159"/>
    </row>
    <row r="568" spans="1:8" ht="15" customHeight="1">
      <c r="A568" s="165"/>
      <c r="B568" s="165"/>
      <c r="C568" s="934"/>
      <c r="D568" s="934"/>
      <c r="E568" s="984"/>
      <c r="F568" s="985"/>
      <c r="G568" s="984">
        <f>+VLOOKUP(Data_Validation!$A568,BV_Data_An_Cour!$M:$R,6,0)</f>
        <v>0</v>
      </c>
      <c r="H568" s="159"/>
    </row>
    <row r="569" spans="1:8" ht="15" customHeight="1">
      <c r="A569" s="161"/>
      <c r="B569" s="160"/>
      <c r="C569" s="934"/>
      <c r="D569" s="934"/>
      <c r="E569" s="984"/>
      <c r="F569" s="985"/>
      <c r="G569" s="984">
        <f>+VLOOKUP(Data_Validation!$A569,BV_Data_An_Cour!$M:$R,6,0)</f>
        <v>0</v>
      </c>
      <c r="H569" s="159"/>
    </row>
    <row r="570" spans="1:8" ht="15" customHeight="1">
      <c r="A570" s="165"/>
      <c r="B570" s="165"/>
      <c r="C570" s="934"/>
      <c r="D570" s="934"/>
      <c r="E570" s="984"/>
      <c r="F570" s="985"/>
      <c r="G570" s="984">
        <f>+VLOOKUP(Data_Validation!$A570,BV_Data_An_Cour!$M:$R,6,0)</f>
        <v>0</v>
      </c>
      <c r="H570" s="159"/>
    </row>
    <row r="571" spans="1:8" ht="15" customHeight="1">
      <c r="A571" s="165"/>
      <c r="B571" s="165"/>
      <c r="C571" s="934"/>
      <c r="D571" s="934"/>
      <c r="E571" s="984"/>
      <c r="F571" s="985"/>
      <c r="G571" s="984">
        <f>+VLOOKUP(Data_Validation!$A571,BV_Data_An_Cour!$M:$R,6,0)</f>
        <v>0</v>
      </c>
      <c r="H571" s="159"/>
    </row>
    <row r="572" spans="1:8" ht="15" customHeight="1">
      <c r="A572" s="929"/>
      <c r="B572" s="165"/>
      <c r="C572" s="934"/>
      <c r="D572" s="934"/>
      <c r="E572" s="984"/>
      <c r="F572" s="985"/>
      <c r="G572" s="984">
        <f>+VLOOKUP(Data_Validation!$A572,BV_Data_An_Cour!$M:$R,6,0)</f>
        <v>0</v>
      </c>
      <c r="H572" s="159"/>
    </row>
    <row r="573" spans="1:8" ht="15" customHeight="1">
      <c r="A573" s="161"/>
      <c r="B573" s="160"/>
      <c r="C573" s="934"/>
      <c r="D573" s="934"/>
      <c r="E573" s="984"/>
      <c r="F573" s="985"/>
      <c r="G573" s="984">
        <f>+VLOOKUP(Data_Validation!$A573,BV_Data_An_Cour!$M:$R,6,0)</f>
        <v>0</v>
      </c>
      <c r="H573" s="159"/>
    </row>
    <row r="574" spans="1:8" ht="15" customHeight="1">
      <c r="A574" s="162"/>
      <c r="B574" s="163"/>
      <c r="C574" s="934"/>
      <c r="D574" s="934"/>
      <c r="E574" s="984"/>
      <c r="F574" s="985"/>
      <c r="G574" s="984">
        <f>+VLOOKUP(Data_Validation!$A574,BV_Data_An_Cour!$M:$R,6,0)</f>
        <v>0</v>
      </c>
      <c r="H574" s="159"/>
    </row>
    <row r="575" spans="1:8" ht="15" customHeight="1">
      <c r="A575" s="162"/>
      <c r="B575" s="163"/>
      <c r="C575" s="934"/>
      <c r="D575" s="934"/>
      <c r="E575" s="984"/>
      <c r="F575" s="985"/>
      <c r="G575" s="984">
        <f>+VLOOKUP(Data_Validation!$A575,BV_Data_An_Cour!$M:$R,6,0)</f>
        <v>0</v>
      </c>
      <c r="H575" s="159"/>
    </row>
    <row r="576" spans="1:8" ht="15" customHeight="1">
      <c r="A576" s="161"/>
      <c r="B576" s="165"/>
      <c r="C576" s="934"/>
      <c r="D576" s="934"/>
      <c r="E576" s="984"/>
      <c r="F576" s="985"/>
      <c r="G576" s="984">
        <f>+VLOOKUP(Data_Validation!$A576,BV_Data_An_Cour!$M:$R,6,0)</f>
        <v>0</v>
      </c>
      <c r="H576" s="159"/>
    </row>
    <row r="577" spans="1:29" ht="15" customHeight="1">
      <c r="A577" s="929"/>
      <c r="B577" s="165"/>
      <c r="C577" s="934"/>
      <c r="D577" s="934"/>
      <c r="E577" s="984"/>
      <c r="F577" s="985"/>
      <c r="G577" s="984">
        <f>+VLOOKUP(Data_Validation!$A577,BV_Data_An_Cour!$M:$R,6,0)</f>
        <v>0</v>
      </c>
      <c r="H577" s="159"/>
    </row>
    <row r="578" spans="1:29" ht="15" customHeight="1">
      <c r="A578" s="929"/>
      <c r="B578" s="165"/>
      <c r="C578" s="934"/>
      <c r="D578" s="934"/>
      <c r="E578" s="984"/>
      <c r="F578" s="985"/>
      <c r="G578" s="984">
        <f>+VLOOKUP(Data_Validation!$A578,BV_Data_An_Cour!$M:$R,6,0)</f>
        <v>0</v>
      </c>
      <c r="H578" s="159"/>
    </row>
    <row r="579" spans="1:29" ht="15" customHeight="1">
      <c r="A579" s="929"/>
      <c r="B579" s="165"/>
      <c r="C579" s="934"/>
      <c r="D579" s="934"/>
      <c r="E579" s="984"/>
      <c r="F579" s="985"/>
      <c r="G579" s="984">
        <f>+VLOOKUP(Data_Validation!$A579,BV_Data_An_Cour!$M:$R,6,0)</f>
        <v>0</v>
      </c>
      <c r="H579" s="159"/>
    </row>
    <row r="580" spans="1:29" ht="15" customHeight="1">
      <c r="A580" s="929"/>
      <c r="B580" s="165"/>
      <c r="C580" s="934"/>
      <c r="D580" s="934"/>
      <c r="E580" s="984"/>
      <c r="F580" s="985"/>
      <c r="G580" s="984">
        <f>+VLOOKUP(Data_Validation!$A580,BV_Data_An_Cour!$M:$R,6,0)</f>
        <v>0</v>
      </c>
      <c r="H580" s="159"/>
    </row>
    <row r="581" spans="1:29" ht="15" customHeight="1">
      <c r="A581" s="161"/>
      <c r="B581" s="160"/>
      <c r="C581" s="934"/>
      <c r="D581" s="934"/>
      <c r="E581" s="984"/>
      <c r="F581" s="985"/>
      <c r="G581" s="984">
        <f>+VLOOKUP(Data_Validation!$A581,BV_Data_An_Cour!$M:$R,6,0)</f>
        <v>0</v>
      </c>
      <c r="H581" s="159"/>
    </row>
    <row r="582" spans="1:29" ht="15" customHeight="1">
      <c r="A582" s="161"/>
      <c r="B582" s="160"/>
      <c r="C582" s="934"/>
      <c r="D582" s="934"/>
      <c r="E582" s="984"/>
      <c r="F582" s="985"/>
      <c r="G582" s="984">
        <f>+VLOOKUP(Data_Validation!$A582,BV_Data_An_Cour!$M:$R,6,0)</f>
        <v>0</v>
      </c>
      <c r="H582" s="159"/>
    </row>
    <row r="583" spans="1:29" ht="15" customHeight="1">
      <c r="A583" s="161"/>
      <c r="B583" s="160"/>
      <c r="C583" s="934"/>
      <c r="D583" s="934"/>
      <c r="E583" s="984"/>
      <c r="F583" s="985"/>
      <c r="G583" s="984">
        <f>+VLOOKUP(Data_Validation!$A583,BV_Data_An_Cour!$M:$R,6,0)</f>
        <v>0</v>
      </c>
      <c r="H583" s="159"/>
    </row>
    <row r="584" spans="1:29" ht="15" customHeight="1">
      <c r="A584" s="1001"/>
      <c r="B584" s="1002"/>
      <c r="C584" s="934"/>
      <c r="D584" s="934"/>
      <c r="E584" s="984"/>
      <c r="F584" s="985"/>
      <c r="G584" s="984">
        <f>+VLOOKUP(Data_Validation!$A584,BV_Data_An_Cour!$M:$R,6,0)</f>
        <v>0</v>
      </c>
      <c r="H584" s="159"/>
    </row>
    <row r="585" spans="1:29" ht="15" customHeight="1">
      <c r="A585" s="161"/>
      <c r="B585" s="160"/>
      <c r="C585" s="934"/>
      <c r="D585" s="934"/>
      <c r="E585" s="984"/>
      <c r="F585" s="985"/>
      <c r="G585" s="984">
        <f>+VLOOKUP(Data_Validation!$A585,BV_Data_An_Cour!$M:$R,6,0)</f>
        <v>0</v>
      </c>
      <c r="H585" s="159"/>
    </row>
    <row r="586" spans="1:29" ht="15" customHeight="1">
      <c r="A586" s="161"/>
      <c r="B586" s="160"/>
      <c r="C586" s="934"/>
      <c r="D586" s="934"/>
      <c r="E586" s="984"/>
      <c r="F586" s="985"/>
      <c r="G586" s="984">
        <f>+VLOOKUP(Data_Validation!$A586,BV_Data_An_Cour!$M:$R,6,0)</f>
        <v>0</v>
      </c>
      <c r="H586" s="159"/>
    </row>
    <row r="587" spans="1:29" ht="15" customHeight="1">
      <c r="A587" s="161"/>
      <c r="B587" s="160"/>
      <c r="C587" s="934"/>
      <c r="D587" s="934"/>
      <c r="E587" s="984"/>
      <c r="F587" s="985"/>
      <c r="G587" s="984">
        <f>+VLOOKUP(Data_Validation!$A587,BV_Data_An_Cour!$M:$R,6,0)</f>
        <v>0</v>
      </c>
      <c r="H587" s="159"/>
    </row>
    <row r="588" spans="1:29" ht="15" customHeight="1">
      <c r="A588" s="161"/>
      <c r="B588" s="160"/>
      <c r="C588" s="934"/>
      <c r="D588" s="934"/>
      <c r="E588" s="984"/>
      <c r="F588" s="985"/>
      <c r="G588" s="984">
        <f>+VLOOKUP(Data_Validation!$A588,BV_Data_An_Cour!$M:$R,6,0)</f>
        <v>0</v>
      </c>
      <c r="H588" s="159"/>
    </row>
    <row r="589" spans="1:29" ht="15" customHeight="1">
      <c r="A589" s="160"/>
      <c r="B589" s="160"/>
      <c r="C589" s="934"/>
      <c r="D589" s="934"/>
      <c r="E589" s="984"/>
      <c r="F589" s="985"/>
      <c r="G589" s="984">
        <f>+VLOOKUP(Data_Validation!$A589,BV_Data_An_Cour!$M:$R,6,0)</f>
        <v>0</v>
      </c>
      <c r="H589" s="159"/>
    </row>
    <row r="590" spans="1:29" ht="15" customHeight="1">
      <c r="A590" s="160"/>
      <c r="B590" s="160"/>
      <c r="C590" s="934"/>
      <c r="D590" s="934"/>
      <c r="E590" s="984"/>
      <c r="F590" s="985"/>
      <c r="G590" s="984">
        <f>+VLOOKUP(Data_Validation!$A590,BV_Data_An_Cour!$M:$R,6,0)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1"/>
      <c r="B591" s="160"/>
      <c r="C591" s="934"/>
      <c r="D591" s="934"/>
      <c r="E591" s="984"/>
      <c r="F591" s="985"/>
      <c r="G591" s="984">
        <f>+VLOOKUP(Data_Validation!$A591,BV_Data_An_Cour!$M:$R,6,0)</f>
        <v>0</v>
      </c>
      <c r="H591" s="159"/>
    </row>
    <row r="592" spans="1:29" ht="15" customHeight="1">
      <c r="A592" s="161"/>
      <c r="B592" s="160"/>
      <c r="C592" s="934"/>
      <c r="D592" s="934"/>
      <c r="E592" s="984"/>
      <c r="F592" s="985"/>
      <c r="G592" s="984">
        <f>+VLOOKUP(Data_Validation!$A592,BV_Data_An_Cour!$M:$R,6,0)</f>
        <v>0</v>
      </c>
      <c r="H592" s="159"/>
    </row>
    <row r="593" spans="1:11" ht="15" customHeight="1">
      <c r="A593" s="161"/>
      <c r="B593" s="160"/>
      <c r="C593" s="934"/>
      <c r="D593" s="934"/>
      <c r="E593" s="984"/>
      <c r="F593" s="985"/>
      <c r="G593" s="984">
        <f>+VLOOKUP(Data_Validation!$A593,BV_Data_An_Cour!$M:$R,6,0)</f>
        <v>0</v>
      </c>
      <c r="H593" s="159"/>
    </row>
    <row r="594" spans="1:11" ht="15" customHeight="1">
      <c r="A594" s="161"/>
      <c r="B594" s="160"/>
      <c r="C594" s="934"/>
      <c r="D594" s="934"/>
      <c r="E594" s="984"/>
      <c r="F594" s="985"/>
      <c r="G594" s="984">
        <f>+VLOOKUP(Data_Validation!$A594,BV_Data_An_Cour!$M:$R,6,0)</f>
        <v>0</v>
      </c>
      <c r="H594" s="159"/>
    </row>
    <row r="595" spans="1:11" ht="15" customHeight="1">
      <c r="A595" s="161"/>
      <c r="B595" s="160"/>
      <c r="C595" s="934"/>
      <c r="D595" s="934"/>
      <c r="E595" s="984"/>
      <c r="F595" s="985"/>
      <c r="G595" s="984">
        <f>+VLOOKUP(Data_Validation!$A595,BV_Data_An_Cour!$M:$R,6,0)</f>
        <v>0</v>
      </c>
      <c r="H595" s="159"/>
    </row>
    <row r="596" spans="1:11" ht="15" customHeight="1">
      <c r="A596" s="161"/>
      <c r="B596" s="160"/>
      <c r="C596" s="934"/>
      <c r="D596" s="934"/>
      <c r="E596" s="984"/>
      <c r="F596" s="985"/>
      <c r="G596" s="984">
        <f>+VLOOKUP(Data_Validation!$A596,BV_Data_An_Cour!$M:$R,6,0)</f>
        <v>0</v>
      </c>
      <c r="H596" s="159"/>
    </row>
    <row r="597" spans="1:11" ht="15" customHeight="1">
      <c r="A597" s="161"/>
      <c r="B597" s="160"/>
      <c r="C597" s="934"/>
      <c r="D597" s="934"/>
      <c r="E597" s="984"/>
      <c r="F597" s="985"/>
      <c r="G597" s="984">
        <f>+VLOOKUP(Data_Validation!$A597,BV_Data_An_Cour!$M:$R,6,0)</f>
        <v>0</v>
      </c>
      <c r="H597" s="159"/>
      <c r="K597" s="2"/>
    </row>
    <row r="598" spans="1:11" ht="15" customHeight="1">
      <c r="A598" s="161"/>
      <c r="B598" s="160"/>
      <c r="C598" s="934"/>
      <c r="D598" s="934"/>
      <c r="E598" s="984"/>
      <c r="F598" s="985"/>
      <c r="G598" s="984">
        <f>+VLOOKUP(Data_Validation!$A598,BV_Data_An_Cour!$M:$R,6,0)</f>
        <v>0</v>
      </c>
      <c r="H598" s="159"/>
    </row>
    <row r="599" spans="1:11" ht="15" customHeight="1">
      <c r="A599" s="161"/>
      <c r="B599" s="160"/>
      <c r="C599" s="934"/>
      <c r="D599" s="934"/>
      <c r="E599" s="984"/>
      <c r="F599" s="985"/>
      <c r="G599" s="984">
        <f>+VLOOKUP(Data_Validation!$A599,BV_Data_An_Cour!$M:$R,6,0)</f>
        <v>0</v>
      </c>
      <c r="H599" s="159"/>
    </row>
    <row r="600" spans="1:11" ht="15" customHeight="1">
      <c r="A600" s="161"/>
      <c r="B600" s="160"/>
      <c r="C600" s="934"/>
      <c r="D600" s="934"/>
      <c r="E600" s="984"/>
      <c r="F600" s="985"/>
      <c r="G600" s="984">
        <f>+VLOOKUP(Data_Validation!$A600,BV_Data_An_Cour!$M:$R,6,0)</f>
        <v>0</v>
      </c>
      <c r="H600" s="159"/>
    </row>
    <row r="601" spans="1:11" ht="15" customHeight="1">
      <c r="A601" s="161"/>
      <c r="B601" s="160"/>
      <c r="C601" s="934"/>
      <c r="D601" s="934"/>
      <c r="E601" s="984"/>
      <c r="F601" s="985"/>
      <c r="G601" s="984">
        <f>+VLOOKUP(Data_Validation!$A601,BV_Data_An_Cour!$M:$R,6,0)</f>
        <v>0</v>
      </c>
      <c r="H601" s="159"/>
    </row>
    <row r="602" spans="1:11" ht="15" customHeight="1">
      <c r="A602" s="161"/>
      <c r="B602" s="160"/>
      <c r="C602" s="934"/>
      <c r="D602" s="934"/>
      <c r="E602" s="984"/>
      <c r="F602" s="985"/>
      <c r="G602" s="984">
        <f>+VLOOKUP(Data_Validation!$A602,BV_Data_An_Cour!$M:$R,6,0)</f>
        <v>0</v>
      </c>
      <c r="H602" s="159"/>
    </row>
    <row r="603" spans="1:11" ht="15" customHeight="1">
      <c r="A603" s="161"/>
      <c r="B603" s="160"/>
      <c r="C603" s="934"/>
      <c r="D603" s="934"/>
      <c r="E603" s="984"/>
      <c r="F603" s="985"/>
      <c r="G603" s="984">
        <f>+VLOOKUP(Data_Validation!$A603,BV_Data_An_Cour!$M:$R,6,0)</f>
        <v>0</v>
      </c>
      <c r="H603" s="159"/>
    </row>
    <row r="604" spans="1:11" ht="15" customHeight="1">
      <c r="A604" s="161"/>
      <c r="B604" s="160"/>
      <c r="C604" s="934"/>
      <c r="D604" s="934"/>
      <c r="E604" s="984"/>
      <c r="F604" s="985"/>
      <c r="G604" s="984">
        <f>+VLOOKUP(Data_Validation!$A604,BV_Data_An_Cour!$M:$R,6,0)</f>
        <v>0</v>
      </c>
      <c r="H604" s="159"/>
    </row>
    <row r="605" spans="1:11" ht="15" customHeight="1">
      <c r="A605" s="161"/>
      <c r="B605" s="160"/>
      <c r="C605" s="934"/>
      <c r="D605" s="934"/>
      <c r="E605" s="984"/>
      <c r="F605" s="985"/>
      <c r="G605" s="984">
        <f>+VLOOKUP(Data_Validation!$A605,BV_Data_An_Cour!$M:$R,6,0)</f>
        <v>0</v>
      </c>
      <c r="H605" s="159"/>
    </row>
    <row r="606" spans="1:11" ht="15" customHeight="1">
      <c r="A606" s="161"/>
      <c r="B606" s="160"/>
      <c r="C606" s="934"/>
      <c r="D606" s="934"/>
      <c r="E606" s="984"/>
      <c r="F606" s="985"/>
      <c r="G606" s="984">
        <f>+VLOOKUP(Data_Validation!$A606,BV_Data_An_Cour!$M:$R,6,0)</f>
        <v>0</v>
      </c>
      <c r="H606" s="159"/>
    </row>
    <row r="607" spans="1:11" ht="15" customHeight="1">
      <c r="A607" s="161"/>
      <c r="B607" s="160"/>
      <c r="C607" s="934"/>
      <c r="D607" s="934"/>
      <c r="E607" s="984"/>
      <c r="F607" s="985"/>
      <c r="G607" s="984">
        <f>+VLOOKUP(Data_Validation!$A607,BV_Data_An_Cour!$M:$R,6,0)</f>
        <v>0</v>
      </c>
      <c r="H607" s="159"/>
    </row>
    <row r="608" spans="1:11" ht="15" customHeight="1">
      <c r="A608" s="161"/>
      <c r="B608" s="160"/>
      <c r="C608" s="934"/>
      <c r="D608" s="934"/>
      <c r="E608" s="984"/>
      <c r="F608" s="985"/>
      <c r="G608" s="984">
        <f>+VLOOKUP(Data_Validation!$A608,BV_Data_An_Cour!$M:$R,6,0)</f>
        <v>0</v>
      </c>
      <c r="H608" s="159"/>
    </row>
    <row r="609" spans="1:29" ht="15" customHeight="1">
      <c r="A609" s="160"/>
      <c r="B609" s="160"/>
      <c r="C609" s="934"/>
      <c r="D609" s="934"/>
      <c r="E609" s="984"/>
      <c r="F609" s="985"/>
      <c r="G609" s="984">
        <f>+VLOOKUP(Data_Validation!$A609,BV_Data_An_Cour!$M:$R,6,0)</f>
        <v>0</v>
      </c>
      <c r="H609" s="159"/>
    </row>
    <row r="610" spans="1:29" ht="15" customHeight="1">
      <c r="A610" s="160"/>
      <c r="B610" s="160"/>
      <c r="C610" s="934"/>
      <c r="D610" s="934"/>
      <c r="E610" s="984"/>
      <c r="F610" s="985"/>
      <c r="G610" s="984">
        <f>+VLOOKUP(Data_Validation!$A610,BV_Data_An_Cour!$M:$R,6,0)</f>
        <v>0</v>
      </c>
      <c r="H610" s="159"/>
    </row>
    <row r="611" spans="1:29" ht="15" customHeight="1">
      <c r="A611" s="161"/>
      <c r="B611" s="160"/>
      <c r="C611" s="934"/>
      <c r="D611" s="934"/>
      <c r="E611" s="984"/>
      <c r="F611" s="985"/>
      <c r="G611" s="984">
        <f>+VLOOKUP(Data_Validation!$A611,BV_Data_An_Cour!$M:$R,6,0)</f>
        <v>0</v>
      </c>
      <c r="H611" s="159"/>
    </row>
    <row r="612" spans="1:29" ht="15" customHeight="1">
      <c r="A612" s="161"/>
      <c r="B612" s="160"/>
      <c r="C612" s="934"/>
      <c r="D612" s="934"/>
      <c r="E612" s="984"/>
      <c r="F612" s="985"/>
      <c r="G612" s="984">
        <f>+VLOOKUP(Data_Validation!$A612,BV_Data_An_Cour!$M:$R,6,0)</f>
        <v>0</v>
      </c>
      <c r="H612" s="159"/>
    </row>
    <row r="613" spans="1:29" ht="15" customHeight="1">
      <c r="A613" s="161"/>
      <c r="B613" s="160"/>
      <c r="C613" s="934"/>
      <c r="D613" s="934"/>
      <c r="E613" s="984"/>
      <c r="F613" s="985"/>
      <c r="G613" s="984">
        <f>+VLOOKUP(Data_Validation!$A613,BV_Data_An_Cour!$M:$R,6,0)</f>
        <v>0</v>
      </c>
      <c r="H613" s="159"/>
    </row>
    <row r="614" spans="1:29" ht="15" customHeight="1">
      <c r="A614" s="161"/>
      <c r="B614" s="1003"/>
      <c r="C614" s="995"/>
      <c r="D614" s="934"/>
      <c r="E614" s="984"/>
      <c r="F614" s="985"/>
      <c r="G614" s="984">
        <f>+VLOOKUP(Data_Validation!$A614,BV_Data_An_Cour!$M:$R,6,0)</f>
        <v>0</v>
      </c>
      <c r="H614" s="159"/>
    </row>
    <row r="615" spans="1:29" ht="15" customHeight="1">
      <c r="A615" s="161"/>
      <c r="B615" s="160"/>
      <c r="C615" s="934"/>
      <c r="D615" s="934"/>
      <c r="E615" s="984"/>
      <c r="F615" s="985"/>
      <c r="G615" s="984">
        <f>+VLOOKUP(Data_Validation!$A615,BV_Data_An_Cour!$M:$R,6,0)</f>
        <v>0</v>
      </c>
      <c r="H615" s="159"/>
    </row>
    <row r="616" spans="1:29" ht="15" customHeight="1">
      <c r="A616" s="161"/>
      <c r="B616" s="160"/>
      <c r="C616" s="934"/>
      <c r="D616" s="934"/>
      <c r="E616" s="984"/>
      <c r="F616" s="985"/>
      <c r="G616" s="984">
        <f>+VLOOKUP(Data_Validation!$A616,BV_Data_An_Cour!$M:$R,6,0)</f>
        <v>0</v>
      </c>
      <c r="H616" s="159"/>
    </row>
    <row r="617" spans="1:29" ht="15" customHeight="1">
      <c r="A617" s="161"/>
      <c r="B617" s="160"/>
      <c r="C617" s="934"/>
      <c r="D617" s="934"/>
      <c r="E617" s="984"/>
      <c r="F617" s="985"/>
      <c r="G617" s="984">
        <f>+VLOOKUP(Data_Validation!$A617,BV_Data_An_Cour!$M:$R,6,0)</f>
        <v>0</v>
      </c>
      <c r="H617" s="159"/>
    </row>
    <row r="618" spans="1:29" ht="15" customHeight="1">
      <c r="A618" s="161"/>
      <c r="B618" s="160"/>
      <c r="C618" s="934"/>
      <c r="D618" s="934"/>
      <c r="E618" s="984"/>
      <c r="F618" s="985"/>
      <c r="G618" s="984">
        <f>+VLOOKUP(Data_Validation!$A618,BV_Data_An_Cour!$M:$R,6,0)</f>
        <v>0</v>
      </c>
      <c r="H618" s="159"/>
    </row>
    <row r="619" spans="1:29" ht="15" customHeight="1">
      <c r="A619" s="161"/>
      <c r="B619" s="160"/>
      <c r="C619" s="934"/>
      <c r="D619" s="934"/>
      <c r="E619" s="984"/>
      <c r="F619" s="985"/>
      <c r="G619" s="984">
        <f>+VLOOKUP(Data_Validation!$A619,BV_Data_An_Cour!$M:$R,6,0)</f>
        <v>0</v>
      </c>
      <c r="H619" s="159"/>
    </row>
    <row r="620" spans="1:29" ht="15" customHeight="1">
      <c r="A620" s="161"/>
      <c r="B620" s="160"/>
      <c r="C620" s="934"/>
      <c r="D620" s="934"/>
      <c r="E620" s="984"/>
      <c r="F620" s="985"/>
      <c r="G620" s="984">
        <f>+VLOOKUP(Data_Validation!$A620,BV_Data_An_Cour!$M:$R,6,0)</f>
        <v>0</v>
      </c>
      <c r="H620" s="159"/>
    </row>
    <row r="621" spans="1:29" ht="15" customHeight="1">
      <c r="A621" s="161"/>
      <c r="B621" s="160"/>
      <c r="C621" s="934"/>
      <c r="D621" s="934"/>
      <c r="E621" s="984"/>
      <c r="F621" s="985"/>
      <c r="G621" s="984">
        <f>+VLOOKUP(Data_Validation!$A621,BV_Data_An_Cour!$M:$R,6,0)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4"/>
      <c r="F622" s="985"/>
      <c r="G622" s="984">
        <f>+VLOOKUP(Data_Validation!$A622,BV_Data_An_Cour!$M:$R,6,0)</f>
        <v>0</v>
      </c>
      <c r="H622" s="159"/>
    </row>
    <row r="623" spans="1:29" ht="15" customHeight="1">
      <c r="A623" s="161"/>
      <c r="B623" s="160"/>
      <c r="C623" s="934"/>
      <c r="D623" s="934"/>
      <c r="E623" s="984"/>
      <c r="F623" s="985"/>
      <c r="G623" s="984">
        <f>+VLOOKUP(Data_Validation!$A623,BV_Data_An_Cour!$M:$R,6,0)</f>
        <v>0</v>
      </c>
      <c r="H623" s="159"/>
    </row>
    <row r="624" spans="1:29" ht="15" customHeight="1">
      <c r="A624" s="161"/>
      <c r="B624" s="160"/>
      <c r="C624" s="934"/>
      <c r="D624" s="934"/>
      <c r="E624" s="984"/>
      <c r="F624" s="985"/>
      <c r="G624" s="984">
        <f>+VLOOKUP(Data_Validation!$A624,BV_Data_An_Cour!$M:$R,6,0)</f>
        <v>0</v>
      </c>
      <c r="H624" s="159"/>
    </row>
    <row r="625" spans="1:8" ht="15" customHeight="1">
      <c r="A625" s="161"/>
      <c r="B625" s="160"/>
      <c r="C625" s="934"/>
      <c r="D625" s="934"/>
      <c r="E625" s="984"/>
      <c r="F625" s="985"/>
      <c r="G625" s="984">
        <f>+VLOOKUP(Data_Validation!$A625,BV_Data_An_Cour!$M:$R,6,0)</f>
        <v>0</v>
      </c>
      <c r="H625" s="159"/>
    </row>
    <row r="626" spans="1:8" ht="15" customHeight="1">
      <c r="A626" s="161"/>
      <c r="B626" s="160"/>
      <c r="C626" s="934"/>
      <c r="D626" s="934"/>
      <c r="E626" s="984"/>
      <c r="F626" s="985"/>
      <c r="G626" s="984">
        <f>+VLOOKUP(Data_Validation!$A626,BV_Data_An_Cour!$M:$R,6,0)</f>
        <v>0</v>
      </c>
      <c r="H626" s="159"/>
    </row>
    <row r="627" spans="1:8" ht="15" customHeight="1">
      <c r="A627" s="161"/>
      <c r="B627" s="160"/>
      <c r="C627" s="934"/>
      <c r="D627" s="934"/>
      <c r="E627" s="984"/>
      <c r="F627" s="985"/>
      <c r="G627" s="984">
        <f>+VLOOKUP(Data_Validation!$A627,BV_Data_An_Cour!$M:$R,6,0)</f>
        <v>0</v>
      </c>
      <c r="H627" s="159"/>
    </row>
    <row r="628" spans="1:8" ht="15" customHeight="1">
      <c r="A628" s="161"/>
      <c r="B628" s="160"/>
      <c r="C628" s="934"/>
      <c r="D628" s="934"/>
      <c r="E628" s="984"/>
      <c r="F628" s="985"/>
      <c r="G628" s="984">
        <f>+VLOOKUP(Data_Validation!$A628,BV_Data_An_Cour!$M:$R,6,0)</f>
        <v>0</v>
      </c>
      <c r="H628" s="159"/>
    </row>
    <row r="629" spans="1:8" ht="15" customHeight="1">
      <c r="A629" s="161"/>
      <c r="B629" s="160"/>
      <c r="C629" s="934"/>
      <c r="D629" s="934"/>
      <c r="E629" s="984"/>
      <c r="F629" s="985"/>
      <c r="G629" s="984">
        <f>+VLOOKUP(Data_Validation!$A629,BV_Data_An_Cour!$M:$R,6,0)</f>
        <v>0</v>
      </c>
      <c r="H629" s="159"/>
    </row>
    <row r="630" spans="1:8" ht="15" customHeight="1">
      <c r="A630" s="161"/>
      <c r="B630" s="160"/>
      <c r="C630" s="934"/>
      <c r="D630" s="934"/>
      <c r="E630" s="984"/>
      <c r="F630" s="985"/>
      <c r="G630" s="984">
        <f>+VLOOKUP(Data_Validation!$A630,BV_Data_An_Cour!$M:$R,6,0)</f>
        <v>0</v>
      </c>
      <c r="H630" s="159"/>
    </row>
    <row r="631" spans="1:8" ht="15" customHeight="1">
      <c r="A631" s="161"/>
      <c r="B631" s="160"/>
      <c r="C631" s="934"/>
      <c r="D631" s="934"/>
      <c r="E631" s="984"/>
      <c r="F631" s="985"/>
      <c r="G631" s="984">
        <f>+VLOOKUP(Data_Validation!$A631,BV_Data_An_Cour!$M:$R,6,0)</f>
        <v>0</v>
      </c>
      <c r="H631" s="159"/>
    </row>
    <row r="632" spans="1:8" ht="15" customHeight="1">
      <c r="A632" s="161"/>
      <c r="B632" s="160"/>
      <c r="C632" s="934"/>
      <c r="D632" s="934"/>
      <c r="E632" s="984"/>
      <c r="F632" s="985"/>
      <c r="G632" s="984">
        <f>+VLOOKUP(Data_Validation!$A632,BV_Data_An_Cour!$M:$R,6,0)</f>
        <v>0</v>
      </c>
      <c r="H632" s="159"/>
    </row>
    <row r="633" spans="1:8" ht="15" customHeight="1">
      <c r="A633" s="161"/>
      <c r="B633" s="160"/>
      <c r="C633" s="934"/>
      <c r="D633" s="934"/>
      <c r="E633" s="984"/>
      <c r="F633" s="985"/>
      <c r="G633" s="984">
        <f>+VLOOKUP(Data_Validation!$A633,BV_Data_An_Cour!$M:$R,6,0)</f>
        <v>0</v>
      </c>
      <c r="H633" s="159"/>
    </row>
    <row r="634" spans="1:8" ht="15" customHeight="1">
      <c r="A634" s="161"/>
      <c r="B634" s="160"/>
      <c r="C634" s="934"/>
      <c r="D634" s="934"/>
      <c r="E634" s="984"/>
      <c r="F634" s="985"/>
      <c r="G634" s="984">
        <f>+VLOOKUP(Data_Validation!$A634,BV_Data_An_Cour!$M:$R,6,0)</f>
        <v>0</v>
      </c>
      <c r="H634" s="159"/>
    </row>
    <row r="635" spans="1:8" ht="15" customHeight="1">
      <c r="A635" s="161"/>
      <c r="B635" s="160"/>
      <c r="C635" s="934"/>
      <c r="D635" s="934"/>
      <c r="E635" s="984"/>
      <c r="F635" s="985"/>
      <c r="G635" s="984">
        <f>+VLOOKUP(Data_Validation!$A635,BV_Data_An_Cour!$M:$R,6,0)</f>
        <v>0</v>
      </c>
      <c r="H635" s="159"/>
    </row>
    <row r="636" spans="1:8" ht="15" customHeight="1">
      <c r="A636" s="161"/>
      <c r="B636" s="160"/>
      <c r="C636" s="934"/>
      <c r="D636" s="934"/>
      <c r="E636" s="984"/>
      <c r="F636" s="985"/>
      <c r="G636" s="984">
        <f>+VLOOKUP(Data_Validation!$A636,BV_Data_An_Cour!$M:$R,6,0)</f>
        <v>0</v>
      </c>
      <c r="H636" s="159"/>
    </row>
    <row r="637" spans="1:8" ht="15" customHeight="1">
      <c r="A637" s="161"/>
      <c r="B637" s="160"/>
      <c r="C637" s="934"/>
      <c r="D637" s="934"/>
      <c r="E637" s="984"/>
      <c r="F637" s="985"/>
      <c r="G637" s="984">
        <f>+VLOOKUP(Data_Validation!$A637,BV_Data_An_Cour!$M:$R,6,0)</f>
        <v>0</v>
      </c>
      <c r="H637" s="159"/>
    </row>
    <row r="638" spans="1:8" ht="15" customHeight="1">
      <c r="A638" s="161"/>
      <c r="B638" s="160"/>
      <c r="C638" s="934"/>
      <c r="D638" s="934"/>
      <c r="E638" s="984"/>
      <c r="F638" s="985"/>
      <c r="G638" s="984">
        <f>+VLOOKUP(Data_Validation!$A638,BV_Data_An_Cour!$M:$R,6,0)</f>
        <v>0</v>
      </c>
      <c r="H638" s="159"/>
    </row>
    <row r="639" spans="1:8" ht="15" customHeight="1">
      <c r="A639" s="161"/>
      <c r="B639" s="160"/>
      <c r="C639" s="934"/>
      <c r="D639" s="934"/>
      <c r="E639" s="984"/>
      <c r="F639" s="985"/>
      <c r="G639" s="984">
        <f>+VLOOKUP(Data_Validation!$A639,BV_Data_An_Cour!$M:$R,6,0)</f>
        <v>0</v>
      </c>
      <c r="H639" s="159"/>
    </row>
    <row r="640" spans="1:8" ht="15" customHeight="1">
      <c r="A640" s="161"/>
      <c r="B640" s="160"/>
      <c r="C640" s="934"/>
      <c r="D640" s="934"/>
      <c r="E640" s="984"/>
      <c r="F640" s="985"/>
      <c r="G640" s="984">
        <f>+VLOOKUP(Data_Validation!$A640,BV_Data_An_Cour!$M:$R,6,0)</f>
        <v>0</v>
      </c>
      <c r="H640" s="159"/>
    </row>
    <row r="641" spans="1:29" ht="15" customHeight="1">
      <c r="A641" s="161"/>
      <c r="B641" s="160"/>
      <c r="C641" s="934"/>
      <c r="D641" s="934"/>
      <c r="E641" s="984"/>
      <c r="F641" s="985"/>
      <c r="G641" s="984">
        <f>+VLOOKUP(Data_Validation!$A641,BV_Data_An_Cour!$M:$R,6,0)</f>
        <v>0</v>
      </c>
      <c r="H641" s="159"/>
    </row>
    <row r="642" spans="1:29" ht="15" customHeight="1">
      <c r="A642" s="161"/>
      <c r="B642" s="1002"/>
      <c r="C642" s="934"/>
      <c r="D642" s="934"/>
      <c r="E642" s="984"/>
      <c r="F642" s="985"/>
      <c r="G642" s="984">
        <f>+VLOOKUP(Data_Validation!$A642,BV_Data_An_Cour!$M:$R,6,0)</f>
        <v>0</v>
      </c>
      <c r="H642" s="159"/>
    </row>
    <row r="643" spans="1:29" ht="15" customHeight="1">
      <c r="A643" s="161"/>
      <c r="B643" s="1002"/>
      <c r="C643" s="934"/>
      <c r="D643" s="934"/>
      <c r="E643" s="984"/>
      <c r="F643" s="985"/>
      <c r="G643" s="984">
        <f>+VLOOKUP(Data_Validation!$A643,BV_Data_An_Cour!$M:$R,6,0)</f>
        <v>0</v>
      </c>
      <c r="H643" s="159"/>
    </row>
    <row r="644" spans="1:29" ht="15" customHeight="1">
      <c r="A644" s="161"/>
      <c r="B644" s="160"/>
      <c r="C644" s="934"/>
      <c r="D644" s="934"/>
      <c r="E644" s="984"/>
      <c r="F644" s="985"/>
      <c r="G644" s="984">
        <f>+VLOOKUP(Data_Validation!$A644,BV_Data_An_Cour!$M:$R,6,0)</f>
        <v>0</v>
      </c>
      <c r="H644" s="159"/>
    </row>
    <row r="645" spans="1:29" ht="15" customHeight="1">
      <c r="A645" s="161"/>
      <c r="B645" s="160"/>
      <c r="C645" s="934"/>
      <c r="D645" s="934"/>
      <c r="E645" s="984"/>
      <c r="F645" s="985"/>
      <c r="G645" s="984">
        <f>+VLOOKUP(Data_Validation!$A645,BV_Data_An_Cour!$M:$R,6,0)</f>
        <v>0</v>
      </c>
      <c r="H645" s="159"/>
    </row>
    <row r="646" spans="1:29" ht="15" customHeight="1">
      <c r="A646" s="161"/>
      <c r="B646" s="160"/>
      <c r="C646" s="934"/>
      <c r="D646" s="934"/>
      <c r="E646" s="984"/>
      <c r="F646" s="985"/>
      <c r="G646" s="984">
        <f>+VLOOKUP(Data_Validation!$A646,BV_Data_An_Cour!$M:$R,6,0)</f>
        <v>0</v>
      </c>
      <c r="H646" s="159"/>
    </row>
    <row r="647" spans="1:29" ht="15" customHeight="1">
      <c r="A647" s="161"/>
      <c r="B647" s="160"/>
      <c r="C647" s="934"/>
      <c r="D647" s="934"/>
      <c r="E647" s="984"/>
      <c r="F647" s="985"/>
      <c r="G647" s="984">
        <f>+VLOOKUP(Data_Validation!$A647,BV_Data_An_Cour!$M:$R,6,0)</f>
        <v>0</v>
      </c>
      <c r="H647" s="159"/>
    </row>
    <row r="648" spans="1:29" ht="15" customHeight="1">
      <c r="A648" s="161"/>
      <c r="B648" s="160"/>
      <c r="C648" s="934"/>
      <c r="D648" s="934"/>
      <c r="E648" s="984"/>
      <c r="F648" s="985"/>
      <c r="G648" s="984">
        <f>+VLOOKUP(Data_Validation!$A648,BV_Data_An_Cour!$M:$R,6,0)</f>
        <v>0</v>
      </c>
      <c r="H648" s="159"/>
    </row>
    <row r="649" spans="1:29" ht="15" customHeight="1">
      <c r="A649" s="161"/>
      <c r="B649" s="160"/>
      <c r="C649" s="934"/>
      <c r="D649" s="934"/>
      <c r="E649" s="984"/>
      <c r="F649" s="985"/>
      <c r="G649" s="984">
        <f>+VLOOKUP(Data_Validation!$A649,BV_Data_An_Cour!$M:$R,6,0)</f>
        <v>0</v>
      </c>
      <c r="H649" s="159"/>
    </row>
    <row r="650" spans="1:29" ht="15" customHeight="1">
      <c r="A650" s="161"/>
      <c r="B650" s="160"/>
      <c r="C650" s="934"/>
      <c r="D650" s="934"/>
      <c r="E650" s="984"/>
      <c r="F650" s="985"/>
      <c r="G650" s="984">
        <f>+VLOOKUP(Data_Validation!$A650,BV_Data_An_Cour!$M:$R,6,0)</f>
        <v>0</v>
      </c>
      <c r="H650" s="159"/>
    </row>
    <row r="651" spans="1:29" ht="15" customHeight="1">
      <c r="A651" s="161"/>
      <c r="B651" s="160"/>
      <c r="C651" s="934"/>
      <c r="D651" s="934"/>
      <c r="E651" s="984"/>
      <c r="F651" s="985"/>
      <c r="G651" s="984">
        <f>+VLOOKUP(Data_Validation!$A651,BV_Data_An_Cour!$M:$R,6,0)</f>
        <v>0</v>
      </c>
      <c r="H651" s="159"/>
    </row>
    <row r="652" spans="1:29" ht="15" customHeight="1">
      <c r="A652" s="161"/>
      <c r="B652" s="160"/>
      <c r="C652" s="934"/>
      <c r="D652" s="934"/>
      <c r="E652" s="984"/>
      <c r="F652" s="985"/>
      <c r="G652" s="984">
        <f>+VLOOKUP(Data_Validation!$A652,BV_Data_An_Cour!$M:$R,6,0)</f>
        <v>0</v>
      </c>
      <c r="H652" s="159"/>
    </row>
    <row r="653" spans="1:29" ht="15" customHeight="1">
      <c r="A653" s="161"/>
      <c r="B653" s="160"/>
      <c r="C653" s="934"/>
      <c r="D653" s="934"/>
      <c r="E653" s="984"/>
      <c r="F653" s="985"/>
      <c r="G653" s="984">
        <f>+VLOOKUP(Data_Validation!$A653,BV_Data_An_Cour!$M:$R,6,0)</f>
        <v>0</v>
      </c>
      <c r="H653" s="159"/>
    </row>
    <row r="654" spans="1:29" ht="15" customHeight="1">
      <c r="A654" s="161"/>
      <c r="B654" s="160"/>
      <c r="C654" s="934"/>
      <c r="D654" s="934"/>
      <c r="E654" s="984"/>
      <c r="F654" s="985"/>
      <c r="G654" s="984">
        <f>+VLOOKUP(Data_Validation!$A654,BV_Data_An_Cour!$M:$R,6,0)</f>
        <v>0</v>
      </c>
      <c r="H654" s="159"/>
    </row>
    <row r="655" spans="1:29" ht="15" customHeight="1">
      <c r="A655" s="161"/>
      <c r="B655" s="160"/>
      <c r="C655" s="934"/>
      <c r="D655" s="934"/>
      <c r="E655" s="984"/>
      <c r="F655" s="985"/>
      <c r="G655" s="984">
        <f>+VLOOKUP(Data_Validation!$A655,BV_Data_An_Cour!$M:$R,6,0)</f>
        <v>0</v>
      </c>
      <c r="H655" s="159"/>
    </row>
    <row r="656" spans="1:29" ht="15" customHeight="1">
      <c r="A656" s="161"/>
      <c r="B656" s="160"/>
      <c r="C656" s="934"/>
      <c r="D656" s="934"/>
      <c r="E656" s="984"/>
      <c r="F656" s="985"/>
      <c r="G656" s="984">
        <f>+VLOOKUP(Data_Validation!$A656,BV_Data_An_Cour!$M:$R,6,0)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2"/>
      <c r="B657" s="163"/>
      <c r="C657" s="934"/>
      <c r="D657" s="934"/>
      <c r="E657" s="984"/>
      <c r="F657" s="985"/>
      <c r="G657" s="984">
        <f>+VLOOKUP(Data_Validation!$A657,BV_Data_An_Cour!$M:$R,6,0)</f>
        <v>0</v>
      </c>
      <c r="H657" s="159"/>
    </row>
    <row r="658" spans="1:29" ht="15" customHeight="1">
      <c r="A658" s="161"/>
      <c r="B658" s="160"/>
      <c r="C658" s="934"/>
      <c r="D658" s="934"/>
      <c r="E658" s="984"/>
      <c r="F658" s="985"/>
      <c r="G658" s="984">
        <f>+VLOOKUP(Data_Validation!$A658,BV_Data_An_Cour!$M:$R,6,0)</f>
        <v>0</v>
      </c>
      <c r="H658" s="159"/>
    </row>
    <row r="659" spans="1:29" ht="15" customHeight="1">
      <c r="A659" s="163"/>
      <c r="B659" s="163"/>
      <c r="C659" s="934"/>
      <c r="D659" s="934"/>
      <c r="E659" s="984"/>
      <c r="F659" s="985"/>
      <c r="G659" s="984">
        <f>+VLOOKUP(Data_Validation!$A659,BV_Data_An_Cour!$M:$R,6,0)</f>
        <v>0</v>
      </c>
      <c r="H659" s="159"/>
    </row>
    <row r="660" spans="1:29" ht="15" customHeight="1">
      <c r="A660" s="160"/>
      <c r="B660" s="160"/>
      <c r="C660" s="934"/>
      <c r="D660" s="934"/>
      <c r="E660" s="984"/>
      <c r="F660" s="985"/>
      <c r="G660" s="984">
        <f>+VLOOKUP(Data_Validation!$A660,BV_Data_An_Cour!$M:$R,6,0)</f>
        <v>0</v>
      </c>
      <c r="H660" s="159"/>
    </row>
    <row r="661" spans="1:29" ht="15" customHeight="1">
      <c r="A661" s="162"/>
      <c r="B661" s="163"/>
      <c r="C661" s="934"/>
      <c r="D661" s="934"/>
      <c r="E661" s="984"/>
      <c r="F661" s="985"/>
      <c r="G661" s="984">
        <f>+VLOOKUP(Data_Validation!$A661,BV_Data_An_Cour!$M:$R,6,0)</f>
        <v>0</v>
      </c>
      <c r="H661" s="159"/>
    </row>
    <row r="662" spans="1:29" ht="15" customHeight="1">
      <c r="A662" s="160"/>
      <c r="B662" s="160"/>
      <c r="C662" s="934"/>
      <c r="D662" s="934"/>
      <c r="E662" s="984"/>
      <c r="F662" s="985"/>
      <c r="G662" s="984">
        <f>+VLOOKUP(Data_Validation!$A662,BV_Data_An_Cour!$M:$R,6,0)</f>
        <v>0</v>
      </c>
      <c r="H662" s="159"/>
    </row>
    <row r="663" spans="1:29" ht="15" customHeight="1">
      <c r="A663" s="162"/>
      <c r="B663" s="163"/>
      <c r="C663" s="934"/>
      <c r="D663" s="934"/>
      <c r="E663" s="984"/>
      <c r="F663" s="985"/>
      <c r="G663" s="984">
        <f>+VLOOKUP(Data_Validation!$A663,BV_Data_An_Cour!$M:$R,6,0)</f>
        <v>0</v>
      </c>
      <c r="H663" s="159"/>
    </row>
    <row r="664" spans="1:29" ht="15" customHeight="1">
      <c r="A664" s="160"/>
      <c r="B664" s="160"/>
      <c r="C664" s="934"/>
      <c r="D664" s="934"/>
      <c r="E664" s="984"/>
      <c r="F664" s="985"/>
      <c r="G664" s="984">
        <f>+VLOOKUP(Data_Validation!$A664,BV_Data_An_Cour!$M:$R,6,0)</f>
        <v>0</v>
      </c>
      <c r="H664" s="159"/>
    </row>
    <row r="665" spans="1:29" ht="15" customHeight="1">
      <c r="A665" s="161"/>
      <c r="B665" s="160"/>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1"/>
      <c r="B667" s="160"/>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0"/>
      <c r="B669" s="160"/>
      <c r="C669" s="934"/>
      <c r="D669" s="934"/>
      <c r="E669" s="984"/>
      <c r="F669" s="985"/>
      <c r="G669" s="984">
        <f>+VLOOKUP(Data_Validation!$A669,BV_Data_An_Cour!$M:$R,6,0)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1"/>
      <c r="B670" s="160"/>
      <c r="C670" s="934"/>
      <c r="D670" s="934"/>
      <c r="E670" s="984"/>
      <c r="F670" s="985"/>
      <c r="G670" s="984">
        <f>+VLOOKUP(Data_Validation!$A670,BV_Data_An_Cour!$M:$R,6,0)</f>
        <v>0</v>
      </c>
      <c r="H670" s="159"/>
    </row>
    <row r="671" spans="1:29" ht="15" customHeight="1">
      <c r="A671" s="161"/>
      <c r="B671" s="160"/>
      <c r="C671" s="934"/>
      <c r="D671" s="934"/>
      <c r="E671" s="984"/>
      <c r="F671" s="985"/>
      <c r="G671" s="984">
        <f>+VLOOKUP(Data_Validation!$A671,BV_Data_An_Cour!$M:$R,6,0)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4"/>
      <c r="F672" s="985"/>
      <c r="G672" s="984">
        <f>+VLOOKUP(Data_Validation!$A672,BV_Data_An_Cour!$M:$R,6,0)</f>
        <v>0</v>
      </c>
      <c r="H672" s="159"/>
      <c r="K672" s="2"/>
    </row>
    <row r="673" spans="1:8" ht="15" customHeight="1">
      <c r="A673" s="161"/>
      <c r="B673" s="160"/>
      <c r="C673" s="934"/>
      <c r="D673" s="934"/>
      <c r="E673" s="984"/>
      <c r="F673" s="985"/>
      <c r="G673" s="984">
        <f>+VLOOKUP(Data_Validation!$A673,BV_Data_An_Cour!$M:$R,6,0)</f>
        <v>0</v>
      </c>
      <c r="H673" s="159"/>
    </row>
    <row r="674" spans="1:8" ht="15" customHeight="1">
      <c r="A674" s="161"/>
      <c r="B674" s="160"/>
      <c r="C674" s="934"/>
      <c r="D674" s="934"/>
      <c r="E674" s="984"/>
      <c r="F674" s="985"/>
      <c r="G674" s="984">
        <f>+VLOOKUP(Data_Validation!$A674,BV_Data_An_Cour!$M:$R,6,0)</f>
        <v>0</v>
      </c>
      <c r="H674" s="159"/>
    </row>
    <row r="675" spans="1:8" ht="15" customHeight="1">
      <c r="A675" s="161"/>
      <c r="B675" s="160"/>
      <c r="C675" s="934"/>
      <c r="D675" s="934"/>
      <c r="E675" s="984"/>
      <c r="F675" s="985"/>
      <c r="G675" s="984">
        <f>+VLOOKUP(Data_Validation!$A675,BV_Data_An_Cour!$M:$R,6,0)</f>
        <v>0</v>
      </c>
      <c r="H675" s="159"/>
    </row>
    <row r="676" spans="1:8" ht="15" customHeight="1">
      <c r="A676" s="161"/>
      <c r="B676" s="160"/>
      <c r="C676" s="934"/>
      <c r="D676" s="934"/>
      <c r="E676" s="984"/>
      <c r="F676" s="985"/>
      <c r="G676" s="984">
        <f>+VLOOKUP(Data_Validation!$A676,BV_Data_An_Cour!$M:$R,6,0)</f>
        <v>0</v>
      </c>
      <c r="H676" s="159"/>
    </row>
    <row r="677" spans="1:8" ht="15" customHeight="1">
      <c r="A677" s="161"/>
      <c r="B677" s="160"/>
      <c r="C677" s="934"/>
      <c r="D677" s="934"/>
      <c r="E677" s="984"/>
      <c r="F677" s="985"/>
      <c r="G677" s="984">
        <f>+VLOOKUP(Data_Validation!$A677,BV_Data_An_Cour!$M:$R,6,0)</f>
        <v>0</v>
      </c>
      <c r="H677" s="159"/>
    </row>
    <row r="678" spans="1:8" ht="15" customHeight="1">
      <c r="A678" s="161"/>
      <c r="B678" s="160"/>
      <c r="C678" s="934"/>
      <c r="D678" s="934"/>
      <c r="E678" s="984"/>
      <c r="F678" s="985"/>
      <c r="G678" s="984">
        <f>+VLOOKUP(Data_Validation!$A678,BV_Data_An_Cour!$M:$R,6,0)</f>
        <v>0</v>
      </c>
      <c r="H678" s="159"/>
    </row>
    <row r="679" spans="1:8" ht="15" customHeight="1">
      <c r="A679" s="161"/>
      <c r="B679" s="160"/>
      <c r="C679" s="934"/>
      <c r="D679" s="934"/>
      <c r="E679" s="984"/>
      <c r="F679" s="985"/>
      <c r="G679" s="984">
        <f>+VLOOKUP(Data_Validation!$A679,BV_Data_An_Cour!$M:$R,6,0)</f>
        <v>0</v>
      </c>
      <c r="H679" s="159"/>
    </row>
    <row r="680" spans="1:8" ht="15" customHeight="1">
      <c r="A680" s="161"/>
      <c r="B680" s="160"/>
      <c r="C680" s="934"/>
      <c r="D680" s="934"/>
      <c r="E680" s="984"/>
      <c r="F680" s="985"/>
      <c r="G680" s="984">
        <f>+VLOOKUP(Data_Validation!$A680,BV_Data_An_Cour!$M:$R,6,0)</f>
        <v>0</v>
      </c>
      <c r="H680" s="159"/>
    </row>
    <row r="681" spans="1:8" ht="15" customHeight="1">
      <c r="A681" s="170"/>
      <c r="B681" s="1003"/>
      <c r="C681" s="995"/>
      <c r="D681" s="934"/>
      <c r="E681" s="984"/>
      <c r="F681" s="985"/>
      <c r="G681" s="984">
        <f>+VLOOKUP(Data_Validation!$A681,BV_Data_An_Cour!$M:$R,6,0)</f>
        <v>0</v>
      </c>
      <c r="H681" s="159"/>
    </row>
    <row r="682" spans="1:8" ht="15" customHeight="1">
      <c r="A682" s="161"/>
      <c r="B682" s="160"/>
      <c r="C682" s="934"/>
      <c r="D682" s="934"/>
      <c r="E682" s="984"/>
      <c r="F682" s="985"/>
      <c r="G682" s="984">
        <f>+VLOOKUP(Data_Validation!$A682,BV_Data_An_Cour!$M:$R,6,0)</f>
        <v>0</v>
      </c>
      <c r="H682" s="159"/>
    </row>
    <row r="683" spans="1:8" ht="15" customHeight="1">
      <c r="A683" s="161"/>
      <c r="B683" s="160"/>
      <c r="C683" s="934"/>
      <c r="D683" s="934"/>
      <c r="E683" s="984"/>
      <c r="F683" s="985"/>
      <c r="G683" s="984">
        <f>+VLOOKUP(Data_Validation!$A683,BV_Data_An_Cour!$M:$R,6,0)</f>
        <v>0</v>
      </c>
      <c r="H683" s="159"/>
    </row>
    <row r="684" spans="1:8" ht="15" customHeight="1">
      <c r="A684" s="161"/>
      <c r="B684" s="160"/>
      <c r="C684" s="934"/>
      <c r="D684" s="934"/>
      <c r="E684" s="984"/>
      <c r="F684" s="985"/>
      <c r="G684" s="984">
        <f>+VLOOKUP(Data_Validation!$A684,BV_Data_An_Cour!$M:$R,6,0)</f>
        <v>0</v>
      </c>
      <c r="H684" s="159"/>
    </row>
    <row r="685" spans="1:8" ht="15" customHeight="1">
      <c r="A685" s="161"/>
      <c r="B685" s="160"/>
      <c r="C685" s="934"/>
      <c r="D685" s="934"/>
      <c r="E685" s="984"/>
      <c r="F685" s="985"/>
      <c r="G685" s="984">
        <f>+VLOOKUP(Data_Validation!$A685,BV_Data_An_Cour!$M:$R,6,0)</f>
        <v>0</v>
      </c>
      <c r="H685" s="159"/>
    </row>
    <row r="686" spans="1:8" ht="15" customHeight="1">
      <c r="A686" s="161"/>
      <c r="B686" s="160"/>
      <c r="C686" s="934"/>
      <c r="D686" s="934"/>
      <c r="E686" s="984"/>
      <c r="F686" s="985"/>
      <c r="G686" s="984">
        <f>+VLOOKUP(Data_Validation!$A686,BV_Data_An_Cour!$M:$R,6,0)</f>
        <v>0</v>
      </c>
      <c r="H686" s="159"/>
    </row>
    <row r="687" spans="1:8" ht="15" customHeight="1">
      <c r="A687" s="161"/>
      <c r="B687" s="160"/>
      <c r="C687" s="934"/>
      <c r="D687" s="934"/>
      <c r="E687" s="984"/>
      <c r="F687" s="985"/>
      <c r="G687" s="984">
        <f>+VLOOKUP(Data_Validation!$A687,BV_Data_An_Cour!$M:$R,6,0)</f>
        <v>0</v>
      </c>
      <c r="H687" s="159"/>
    </row>
    <row r="688" spans="1:8" ht="15" customHeight="1">
      <c r="A688" s="161"/>
      <c r="B688" s="160"/>
      <c r="C688" s="934"/>
      <c r="D688" s="934"/>
      <c r="E688" s="984"/>
      <c r="F688" s="985"/>
      <c r="G688" s="984">
        <f>+VLOOKUP(Data_Validation!$A688,BV_Data_An_Cour!$M:$R,6,0)</f>
        <v>0</v>
      </c>
      <c r="H688" s="159"/>
    </row>
    <row r="689" spans="1:8" ht="15" customHeight="1">
      <c r="A689" s="161"/>
      <c r="B689" s="160"/>
      <c r="C689" s="934"/>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70"/>
      <c r="B691" s="565"/>
      <c r="C691" s="934"/>
      <c r="D691" s="934"/>
      <c r="E691" s="984"/>
      <c r="F691" s="985"/>
      <c r="G691" s="984">
        <f>+VLOOKUP(Data_Validation!$A691,BV_Data_An_Cour!$M:$R,6,0)</f>
        <v>0</v>
      </c>
      <c r="H691" s="159"/>
    </row>
    <row r="692" spans="1:8" ht="15" customHeight="1">
      <c r="A692" s="161"/>
      <c r="B692" s="165"/>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2"/>
      <c r="B698" s="163"/>
      <c r="C698" s="934"/>
      <c r="D698" s="934"/>
      <c r="E698" s="984"/>
      <c r="F698" s="985"/>
      <c r="G698" s="984">
        <f>+VLOOKUP(Data_Validation!$A698,BV_Data_An_Cour!$M:$R,6,0)</f>
        <v>0</v>
      </c>
      <c r="H698" s="159"/>
    </row>
    <row r="699" spans="1:8" ht="15" customHeight="1">
      <c r="A699" s="161"/>
      <c r="B699" s="160"/>
      <c r="C699" s="934"/>
      <c r="D699" s="934"/>
      <c r="E699" s="984"/>
      <c r="F699" s="985"/>
      <c r="G699" s="984">
        <f>+VLOOKUP(Data_Validation!$A699,BV_Data_An_Cour!$M:$R,6,0)</f>
        <v>0</v>
      </c>
      <c r="H699" s="159"/>
    </row>
    <row r="700" spans="1:8" ht="15" customHeight="1">
      <c r="A700" s="161"/>
      <c r="B700" s="160"/>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1"/>
      <c r="B706" s="160"/>
      <c r="C706" s="934"/>
      <c r="D706" s="934"/>
      <c r="E706" s="984"/>
      <c r="F706" s="985"/>
      <c r="G706" s="984">
        <f>+VLOOKUP(Data_Validation!$A706,BV_Data_An_Cour!$M:$R,6,0)</f>
        <v>0</v>
      </c>
      <c r="H706" s="159"/>
    </row>
    <row r="707" spans="1:11" ht="15" customHeight="1">
      <c r="A707" s="161"/>
      <c r="B707" s="1003"/>
      <c r="C707" s="995"/>
      <c r="D707" s="934"/>
      <c r="E707" s="984"/>
      <c r="F707" s="985"/>
      <c r="G707" s="984">
        <f>+VLOOKUP(Data_Validation!$A707,BV_Data_An_Cour!$M:$R,6,0)</f>
        <v>0</v>
      </c>
      <c r="H707" s="159"/>
      <c r="K707" s="2"/>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row>
    <row r="715" spans="1:11" ht="15" customHeight="1">
      <c r="A715" s="160"/>
      <c r="B715" s="160"/>
      <c r="C715" s="934"/>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c r="K720" s="2"/>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c r="K722" s="2"/>
    </row>
    <row r="723" spans="1:29" ht="15" customHeight="1">
      <c r="A723" s="161"/>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0"/>
      <c r="B752" s="160"/>
      <c r="C752" s="934"/>
      <c r="D752" s="934"/>
      <c r="E752" s="984"/>
      <c r="F752" s="985"/>
      <c r="G752" s="984">
        <f>+VLOOKUP(Data_Validation!$A752,BV_Data_An_Cour!$M:$R,6,0)</f>
        <v>0</v>
      </c>
      <c r="H752" s="159"/>
    </row>
    <row r="753" spans="1:29" ht="15" customHeight="1">
      <c r="A753" s="161"/>
      <c r="B753" s="160"/>
      <c r="C753" s="934"/>
      <c r="D753" s="934"/>
      <c r="E753" s="984"/>
      <c r="F753" s="985"/>
      <c r="G753" s="984">
        <f>+VLOOKUP(Data_Validation!$A753,BV_Data_An_Cour!$M:$R,6,0)</f>
        <v>0</v>
      </c>
      <c r="H753" s="159"/>
    </row>
    <row r="754" spans="1:29" ht="15" customHeight="1">
      <c r="A754" s="161"/>
      <c r="B754" s="160"/>
      <c r="C754" s="934"/>
      <c r="D754" s="934"/>
      <c r="E754" s="984"/>
      <c r="F754" s="985"/>
      <c r="G754" s="984">
        <f>+VLOOKUP(Data_Validation!$A754,BV_Data_An_Cour!$M:$R,6,0)</f>
        <v>0</v>
      </c>
      <c r="H754" s="159"/>
    </row>
    <row r="755" spans="1:29" ht="15" customHeight="1">
      <c r="A755" s="161"/>
      <c r="B755" s="160"/>
      <c r="C755" s="934"/>
      <c r="D755" s="934"/>
      <c r="E755" s="984"/>
      <c r="F755" s="985"/>
      <c r="G755" s="984">
        <f>+VLOOKUP(Data_Validation!$A755,BV_Data_An_Cour!$M:$R,6,0)</f>
        <v>0</v>
      </c>
      <c r="H755" s="159"/>
    </row>
    <row r="756" spans="1:29" ht="15" customHeight="1">
      <c r="A756" s="161"/>
      <c r="B756" s="160"/>
      <c r="C756" s="934"/>
      <c r="D756" s="934"/>
      <c r="E756" s="984"/>
      <c r="F756" s="985"/>
      <c r="G756" s="984">
        <f>+VLOOKUP(Data_Validation!$A756,BV_Data_An_Cour!$M:$R,6,0)</f>
        <v>0</v>
      </c>
      <c r="H756" s="159"/>
    </row>
    <row r="757" spans="1:29" ht="15" customHeight="1">
      <c r="A757" s="161"/>
      <c r="B757" s="160"/>
      <c r="C757" s="934"/>
      <c r="D757" s="934"/>
      <c r="E757" s="984"/>
      <c r="F757" s="985"/>
      <c r="G757" s="984">
        <f>+VLOOKUP(Data_Validation!$A757,BV_Data_An_Cour!$M:$R,6,0)</f>
        <v>0</v>
      </c>
      <c r="H757" s="159"/>
    </row>
    <row r="758" spans="1:29" ht="15" customHeight="1">
      <c r="A758" s="161"/>
      <c r="B758" s="160"/>
      <c r="C758" s="934"/>
      <c r="D758" s="934"/>
      <c r="E758" s="984"/>
      <c r="F758" s="985"/>
      <c r="G758" s="984">
        <f>+VLOOKUP(Data_Validation!$A758,BV_Data_An_Cour!$M:$R,6,0)</f>
        <v>0</v>
      </c>
      <c r="H758" s="159"/>
    </row>
    <row r="759" spans="1:29" ht="15" customHeight="1">
      <c r="A759" s="161"/>
      <c r="B759" s="160"/>
      <c r="C759" s="934"/>
      <c r="D759" s="934"/>
      <c r="E759" s="984"/>
      <c r="F759" s="985"/>
      <c r="G759" s="984">
        <f>+VLOOKUP(Data_Validation!$A759,BV_Data_An_Cour!$M:$R,6,0)</f>
        <v>0</v>
      </c>
      <c r="H759" s="159"/>
    </row>
    <row r="760" spans="1:29" ht="15" customHeight="1">
      <c r="A760" s="161"/>
      <c r="B760" s="160"/>
      <c r="C760" s="934"/>
      <c r="D760" s="934"/>
      <c r="E760" s="984"/>
      <c r="F760" s="985"/>
      <c r="G760" s="984">
        <f>+VLOOKUP(Data_Validation!$A760,BV_Data_An_Cour!$M:$R,6,0)</f>
        <v>0</v>
      </c>
      <c r="H760" s="159"/>
    </row>
    <row r="761" spans="1:29" ht="15" customHeight="1">
      <c r="A761" s="161"/>
      <c r="B761" s="160"/>
      <c r="C761" s="934"/>
      <c r="D761" s="934"/>
      <c r="E761" s="984"/>
      <c r="F761" s="985"/>
      <c r="G761" s="984">
        <f>+VLOOKUP(Data_Validation!$A761,BV_Data_An_Cour!$M:$R,6,0)</f>
        <v>0</v>
      </c>
      <c r="H761" s="159"/>
    </row>
    <row r="762" spans="1:29" ht="15" customHeight="1">
      <c r="A762" s="161"/>
      <c r="B762" s="160"/>
      <c r="C762" s="934"/>
      <c r="D762" s="934"/>
      <c r="E762" s="984"/>
      <c r="F762" s="985"/>
      <c r="G762" s="984">
        <f>+VLOOKUP(Data_Validation!$A762,BV_Data_An_Cour!$M:$R,6,0)</f>
        <v>0</v>
      </c>
      <c r="H762" s="159"/>
    </row>
    <row r="763" spans="1:29" ht="15" customHeight="1">
      <c r="A763" s="161"/>
      <c r="B763" s="160"/>
      <c r="C763" s="934"/>
      <c r="D763" s="934"/>
      <c r="E763" s="984"/>
      <c r="F763" s="985"/>
      <c r="G763" s="984">
        <f>+VLOOKUP(Data_Validation!$A763,BV_Data_An_Cour!$M:$R,6,0)</f>
        <v>0</v>
      </c>
      <c r="H763" s="159"/>
    </row>
    <row r="764" spans="1:29" ht="15" customHeight="1">
      <c r="A764" s="161"/>
      <c r="B764" s="160"/>
      <c r="C764" s="934"/>
      <c r="D764" s="934"/>
      <c r="E764" s="984"/>
      <c r="F764" s="985"/>
      <c r="G764" s="984">
        <f>+VLOOKUP(Data_Validation!$A764,BV_Data_An_Cour!$M:$R,6,0)</f>
        <v>0</v>
      </c>
      <c r="H764" s="159"/>
    </row>
    <row r="765" spans="1:29" ht="15" customHeight="1">
      <c r="A765" s="161"/>
      <c r="B765" s="160"/>
      <c r="C765" s="934"/>
      <c r="D765" s="934"/>
      <c r="E765" s="984"/>
      <c r="F765" s="985"/>
      <c r="G765" s="984">
        <f>+VLOOKUP(Data_Validation!$A765,BV_Data_An_Cour!$M:$R,6,0)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4"/>
      <c r="F766" s="985"/>
      <c r="G766" s="984">
        <f>+VLOOKUP(Data_Validation!$A766,BV_Data_An_Cour!$M:$R,6,0)</f>
        <v>0</v>
      </c>
      <c r="H766" s="159"/>
    </row>
    <row r="767" spans="1:29" ht="15" customHeight="1">
      <c r="A767" s="161"/>
      <c r="B767" s="160"/>
      <c r="C767" s="934"/>
      <c r="D767" s="934"/>
      <c r="E767" s="984"/>
      <c r="F767" s="985"/>
      <c r="G767" s="984">
        <f>+VLOOKUP(Data_Validation!$A767,BV_Data_An_Cour!$M:$R,6,0)</f>
        <v>0</v>
      </c>
      <c r="H767" s="159"/>
    </row>
    <row r="768" spans="1:29"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K772" s="2"/>
    </row>
    <row r="773" spans="1:29" ht="15" customHeight="1">
      <c r="A773" s="161"/>
      <c r="B773" s="160"/>
      <c r="C773" s="934"/>
      <c r="D773" s="934"/>
      <c r="E773" s="984"/>
      <c r="F773" s="985"/>
      <c r="G773" s="984">
        <f>+VLOOKUP(Data_Validation!$A773,BV_Data_An_Cour!$M:$R,6,0)</f>
        <v>0</v>
      </c>
      <c r="H773" s="159"/>
    </row>
    <row r="774" spans="1:29" ht="15" customHeight="1">
      <c r="A774" s="161"/>
      <c r="B774" s="565"/>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row>
    <row r="778" spans="1:29" ht="15" customHeight="1">
      <c r="A778" s="161"/>
      <c r="B778" s="160"/>
      <c r="C778" s="934"/>
      <c r="D778" s="934"/>
      <c r="E778" s="984"/>
      <c r="F778" s="985"/>
      <c r="G778" s="984">
        <f>+VLOOKUP(Data_Validation!$A778,BV_Data_An_Cour!$M:$R,6,0)</f>
        <v>0</v>
      </c>
    </row>
    <row r="779" spans="1:29" ht="15" customHeight="1">
      <c r="A779" s="161"/>
      <c r="B779" s="160"/>
      <c r="C779" s="934"/>
      <c r="D779" s="934"/>
      <c r="E779" s="984"/>
      <c r="F779" s="985"/>
      <c r="G779" s="984">
        <f>+VLOOKUP(Data_Validation!$A779,BV_Data_An_Cour!$M:$R,6,0)</f>
        <v>0</v>
      </c>
      <c r="H779" s="159"/>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4"/>
      <c r="F782" s="985"/>
      <c r="G782" s="984">
        <f>+VLOOKUP(Data_Validation!$A782,BV_Data_An_Cour!$M:$R,6,0)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c r="H784" s="159"/>
    </row>
    <row r="785" spans="1:29" ht="15" customHeight="1">
      <c r="A785" s="160"/>
      <c r="B785" s="160"/>
      <c r="C785" s="934"/>
      <c r="D785" s="934"/>
      <c r="E785" s="984"/>
      <c r="F785" s="985"/>
      <c r="G785" s="984">
        <f>+VLOOKUP(Data_Validation!$A785,BV_Data_An_Cour!$M:$R,6,0)</f>
        <v>0</v>
      </c>
      <c r="H785" s="159"/>
    </row>
    <row r="786" spans="1:29" ht="15" customHeight="1">
      <c r="A786" s="160"/>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82"/>
    </row>
    <row r="788" spans="1:29" ht="15" customHeight="1">
      <c r="A788" s="161"/>
      <c r="B788" s="160"/>
      <c r="C788" s="934"/>
      <c r="D788" s="934"/>
      <c r="E788" s="984"/>
      <c r="F788" s="985"/>
      <c r="G788" s="984">
        <f>+VLOOKUP(Data_Validation!$A788,BV_Data_An_Cour!$M:$R,6,0)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82"/>
    </row>
    <row r="790" spans="1:29" ht="15" customHeight="1">
      <c r="A790" s="161"/>
      <c r="B790" s="160"/>
      <c r="C790" s="934"/>
      <c r="D790" s="934"/>
      <c r="E790" s="984"/>
      <c r="F790" s="985"/>
      <c r="G790" s="984">
        <f>+VLOOKUP(Data_Validation!$A790,BV_Data_An_Cour!$M:$R,6,0)</f>
        <v>0</v>
      </c>
      <c r="H790" s="182"/>
    </row>
    <row r="791" spans="1:29" ht="15" customHeight="1">
      <c r="A791" s="161"/>
      <c r="B791" s="160"/>
      <c r="C791" s="934"/>
      <c r="D791" s="934"/>
      <c r="E791" s="984"/>
      <c r="F791" s="985"/>
      <c r="G791" s="984">
        <f>+VLOOKUP(Data_Validation!$A791,BV_Data_An_Cour!$M:$R,6,0)</f>
        <v>0</v>
      </c>
      <c r="H791" s="182"/>
    </row>
    <row r="792" spans="1:29" ht="15" customHeight="1">
      <c r="A792" s="161"/>
      <c r="B792" s="160"/>
      <c r="C792" s="934"/>
      <c r="D792" s="934"/>
      <c r="E792" s="984"/>
      <c r="F792" s="985"/>
      <c r="G792" s="984">
        <f>+VLOOKUP(Data_Validation!$A792,BV_Data_An_Cour!$M:$R,6,0)</f>
        <v>0</v>
      </c>
      <c r="H792" s="182"/>
    </row>
    <row r="793" spans="1:29" ht="15" customHeight="1">
      <c r="A793" s="161"/>
      <c r="B793" s="1003"/>
      <c r="C793" s="995"/>
      <c r="D793" s="934"/>
      <c r="E793" s="984"/>
      <c r="F793" s="985"/>
      <c r="G793" s="984">
        <f>+VLOOKUP(Data_Validation!$A793,BV_Data_An_Cour!$M:$R,6,0)</f>
        <v>0</v>
      </c>
      <c r="H793" s="182"/>
    </row>
    <row r="794" spans="1:29" ht="15" customHeight="1">
      <c r="A794" s="161"/>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59"/>
    </row>
    <row r="801" spans="1:8" ht="15" customHeight="1">
      <c r="A801" s="161"/>
      <c r="B801" s="160"/>
      <c r="C801" s="934"/>
      <c r="D801" s="934"/>
      <c r="E801" s="984"/>
      <c r="F801" s="985"/>
      <c r="G801" s="984">
        <f>+VLOOKUP(Data_Validation!$A801,BV_Data_An_Cour!$M:$R,6,0)</f>
        <v>0</v>
      </c>
      <c r="H801" s="159"/>
    </row>
    <row r="802" spans="1:8" ht="15" customHeight="1">
      <c r="A802" s="161"/>
      <c r="B802" s="160"/>
      <c r="C802" s="934"/>
      <c r="D802" s="934"/>
      <c r="E802" s="984"/>
      <c r="F802" s="985"/>
      <c r="G802" s="984">
        <f>+VLOOKUP(Data_Validation!$A802,BV_Data_An_Cour!$M:$R,6,0)</f>
        <v>0</v>
      </c>
      <c r="H802" s="159"/>
    </row>
    <row r="803" spans="1:8" ht="15" customHeight="1">
      <c r="A803" s="161"/>
      <c r="B803" s="160"/>
      <c r="C803" s="934"/>
      <c r="D803" s="934"/>
      <c r="E803" s="984"/>
      <c r="F803" s="985"/>
      <c r="G803" s="984">
        <f>+VLOOKUP(Data_Validation!$A803,BV_Data_An_Cour!$M:$R,6,0)</f>
        <v>0</v>
      </c>
      <c r="H803" s="159"/>
    </row>
    <row r="804" spans="1:8" ht="15" customHeight="1">
      <c r="A804" s="161"/>
      <c r="B804" s="160"/>
      <c r="C804" s="934"/>
      <c r="D804" s="934"/>
      <c r="E804" s="984"/>
      <c r="F804" s="985"/>
      <c r="G804" s="984">
        <f>+VLOOKUP(Data_Validation!$A804,BV_Data_An_Cour!$M:$R,6,0)</f>
        <v>0</v>
      </c>
      <c r="H804" s="159"/>
    </row>
    <row r="805" spans="1:8" ht="15" customHeight="1">
      <c r="A805" s="161"/>
      <c r="B805" s="160"/>
      <c r="C805" s="934"/>
      <c r="D805" s="934"/>
      <c r="E805" s="984"/>
      <c r="F805" s="985"/>
      <c r="G805" s="984">
        <f>+VLOOKUP(Data_Validation!$A805,BV_Data_An_Cour!$M:$R,6,0)</f>
        <v>0</v>
      </c>
      <c r="H805" s="159"/>
    </row>
    <row r="806" spans="1:8" ht="15" customHeight="1">
      <c r="A806" s="161"/>
      <c r="B806" s="160"/>
      <c r="C806" s="934"/>
      <c r="D806" s="934"/>
      <c r="E806" s="984"/>
      <c r="F806" s="985"/>
      <c r="G806" s="984">
        <f>+VLOOKUP(Data_Validation!$A806,BV_Data_An_Cour!$M:$R,6,0)</f>
        <v>0</v>
      </c>
      <c r="H806" s="159"/>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82"/>
    </row>
    <row r="811" spans="1:8" ht="15" customHeight="1">
      <c r="A811" s="161"/>
      <c r="B811" s="160"/>
      <c r="C811" s="934"/>
      <c r="D811" s="934"/>
      <c r="E811" s="984"/>
      <c r="F811" s="985"/>
      <c r="G811" s="984">
        <f>+VLOOKUP(Data_Validation!$A811,BV_Data_An_Cour!$M:$R,6,0)</f>
        <v>0</v>
      </c>
      <c r="H811" s="182"/>
    </row>
    <row r="812" spans="1:8" ht="15" customHeight="1">
      <c r="A812" s="161"/>
      <c r="B812" s="160"/>
      <c r="C812" s="934"/>
      <c r="D812" s="934"/>
      <c r="E812" s="984"/>
      <c r="F812" s="985"/>
      <c r="G812" s="984">
        <f>+VLOOKUP(Data_Validation!$A812,BV_Data_An_Cour!$M:$R,6,0)</f>
        <v>0</v>
      </c>
      <c r="H812" s="182"/>
    </row>
    <row r="813" spans="1:8" ht="15" customHeight="1">
      <c r="A813" s="161"/>
      <c r="B813" s="160"/>
      <c r="C813" s="934"/>
      <c r="D813" s="934"/>
      <c r="E813" s="984"/>
      <c r="F813" s="985"/>
      <c r="G813" s="984">
        <f>+VLOOKUP(Data_Validation!$A813,BV_Data_An_Cour!$M:$R,6,0)</f>
        <v>0</v>
      </c>
      <c r="H813" s="182"/>
    </row>
    <row r="814" spans="1:8" ht="15" customHeight="1">
      <c r="A814" s="161"/>
      <c r="B814" s="160"/>
      <c r="C814" s="934"/>
      <c r="D814" s="934"/>
      <c r="E814" s="984"/>
      <c r="F814" s="985"/>
      <c r="G814" s="984">
        <f>+VLOOKUP(Data_Validation!$A814,BV_Data_An_Cour!$M:$R,6,0)</f>
        <v>0</v>
      </c>
      <c r="H814" s="182"/>
    </row>
    <row r="815" spans="1:8" ht="15" customHeight="1">
      <c r="A815" s="170"/>
      <c r="B815" s="1002"/>
      <c r="C815" s="934"/>
      <c r="D815" s="934"/>
      <c r="E815" s="984"/>
      <c r="F815" s="985"/>
      <c r="G815" s="984">
        <f>+VLOOKUP(Data_Validation!$A815,BV_Data_An_Cour!$M:$R,6,0)</f>
        <v>0</v>
      </c>
      <c r="H815" s="182"/>
    </row>
    <row r="816" spans="1:8" ht="15" customHeight="1">
      <c r="A816" s="161"/>
      <c r="B816" s="160"/>
      <c r="C816" s="934"/>
      <c r="D816" s="934"/>
      <c r="E816" s="984"/>
      <c r="F816" s="985"/>
      <c r="G816" s="984">
        <f>+VLOOKUP(Data_Validation!$A816,BV_Data_An_Cour!$M:$R,6,0)</f>
        <v>0</v>
      </c>
      <c r="H816" s="182"/>
    </row>
    <row r="817" spans="1:11" ht="15" customHeight="1">
      <c r="A817" s="161"/>
      <c r="B817" s="160"/>
      <c r="C817" s="934"/>
      <c r="D817" s="934"/>
      <c r="E817" s="984"/>
      <c r="F817" s="985"/>
      <c r="G817" s="984">
        <f>+VLOOKUP(Data_Validation!$A817,BV_Data_An_Cour!$M:$R,6,0)</f>
        <v>0</v>
      </c>
      <c r="H817" s="182"/>
    </row>
    <row r="818" spans="1:11" ht="15" customHeight="1">
      <c r="A818" s="161"/>
      <c r="B818" s="160"/>
      <c r="C818" s="934"/>
      <c r="D818" s="934"/>
      <c r="E818" s="984"/>
      <c r="F818" s="985"/>
      <c r="G818" s="984">
        <f>+VLOOKUP(Data_Validation!$A818,BV_Data_An_Cour!$M:$R,6,0)</f>
        <v>0</v>
      </c>
      <c r="H818" s="182"/>
    </row>
    <row r="819" spans="1:11" ht="15" customHeight="1">
      <c r="A819" s="161"/>
      <c r="B819" s="160"/>
      <c r="C819" s="934"/>
      <c r="D819" s="934"/>
      <c r="E819" s="984"/>
      <c r="F819" s="985"/>
      <c r="G819" s="984">
        <f>+VLOOKUP(Data_Validation!$A819,BV_Data_An_Cour!$M:$R,6,0)</f>
        <v>0</v>
      </c>
      <c r="H819" s="182"/>
    </row>
    <row r="820" spans="1:11" ht="15" customHeight="1">
      <c r="A820" s="160"/>
      <c r="B820" s="160"/>
      <c r="C820" s="934"/>
      <c r="D820" s="934"/>
      <c r="E820" s="984"/>
      <c r="F820" s="985"/>
      <c r="G820" s="984">
        <f>+VLOOKUP(Data_Validation!$A820,BV_Data_An_Cour!$M:$R,6,0)</f>
        <v>0</v>
      </c>
      <c r="H820" s="182"/>
    </row>
    <row r="821" spans="1:11" ht="15" customHeight="1">
      <c r="A821" s="161"/>
      <c r="B821" s="160"/>
      <c r="C821" s="934"/>
      <c r="D821" s="934"/>
      <c r="E821" s="984"/>
      <c r="F821" s="985"/>
      <c r="G821" s="984">
        <f>+VLOOKUP(Data_Validation!$A821,BV_Data_An_Cour!$M:$R,6,0)</f>
        <v>0</v>
      </c>
      <c r="H821" s="182"/>
    </row>
    <row r="822" spans="1:11" ht="15" customHeight="1">
      <c r="A822" s="161"/>
      <c r="B822" s="160"/>
      <c r="C822" s="934"/>
      <c r="D822" s="934"/>
      <c r="E822" s="984"/>
      <c r="F822" s="985"/>
      <c r="G822" s="984">
        <f>+VLOOKUP(Data_Validation!$A822,BV_Data_An_Cour!$M:$R,6,0)</f>
        <v>0</v>
      </c>
      <c r="H822" s="182"/>
    </row>
    <row r="823" spans="1:11" ht="15" customHeight="1">
      <c r="A823" s="161"/>
      <c r="B823" s="160"/>
      <c r="C823" s="934"/>
      <c r="D823" s="934"/>
      <c r="E823" s="984"/>
      <c r="F823" s="985"/>
      <c r="G823" s="984">
        <f>+VLOOKUP(Data_Validation!$A823,BV_Data_An_Cour!$M:$R,6,0)</f>
        <v>0</v>
      </c>
      <c r="H823" s="182"/>
    </row>
    <row r="824" spans="1:11" ht="15" customHeight="1">
      <c r="A824" s="161"/>
      <c r="B824" s="160"/>
      <c r="C824" s="934"/>
      <c r="D824" s="934"/>
      <c r="E824" s="984"/>
      <c r="F824" s="985"/>
      <c r="G824" s="984">
        <f>+VLOOKUP(Data_Validation!$A824,BV_Data_An_Cour!$M:$R,6,0)</f>
        <v>0</v>
      </c>
      <c r="H824" s="182"/>
    </row>
    <row r="825" spans="1:11" ht="15" customHeight="1">
      <c r="A825" s="161"/>
      <c r="B825" s="160"/>
      <c r="C825" s="934"/>
      <c r="D825" s="934"/>
      <c r="E825" s="984"/>
      <c r="F825" s="985"/>
      <c r="G825" s="984">
        <f>+VLOOKUP(Data_Validation!$A825,BV_Data_An_Cour!$M:$R,6,0)</f>
        <v>0</v>
      </c>
      <c r="H825" s="182"/>
    </row>
    <row r="826" spans="1:11" ht="15" customHeight="1">
      <c r="A826" s="161"/>
      <c r="B826" s="160"/>
      <c r="C826" s="934"/>
      <c r="D826" s="934"/>
      <c r="E826" s="984"/>
      <c r="F826" s="985"/>
      <c r="G826" s="984">
        <f>+VLOOKUP(Data_Validation!$A826,BV_Data_An_Cour!$M:$R,6,0)</f>
        <v>0</v>
      </c>
      <c r="H826" s="182"/>
    </row>
    <row r="827" spans="1:11" ht="15" customHeight="1">
      <c r="A827" s="161"/>
      <c r="B827" s="160"/>
      <c r="C827" s="934"/>
      <c r="D827" s="934"/>
      <c r="E827" s="984"/>
      <c r="F827" s="985"/>
      <c r="G827" s="984">
        <f>+VLOOKUP(Data_Validation!$A827,BV_Data_An_Cour!$M:$R,6,0)</f>
        <v>0</v>
      </c>
      <c r="H827" s="182"/>
    </row>
    <row r="828" spans="1:11" ht="15" customHeight="1">
      <c r="A828" s="161"/>
      <c r="B828" s="160"/>
      <c r="C828" s="934"/>
      <c r="D828" s="934"/>
      <c r="E828" s="984"/>
      <c r="F828" s="985"/>
      <c r="G828" s="984">
        <f>+VLOOKUP(Data_Validation!$A828,BV_Data_An_Cour!$M:$R,6,0)</f>
        <v>0</v>
      </c>
      <c r="H828" s="182"/>
    </row>
    <row r="829" spans="1:11" ht="15" customHeight="1">
      <c r="A829" s="161"/>
      <c r="B829" s="160"/>
      <c r="C829" s="934"/>
      <c r="D829" s="934"/>
      <c r="E829" s="984"/>
      <c r="F829" s="985"/>
      <c r="G829" s="984">
        <f>+VLOOKUP(Data_Validation!$A829,BV_Data_An_Cour!$M:$R,6,0)</f>
        <v>0</v>
      </c>
      <c r="H829" s="182"/>
    </row>
    <row r="830" spans="1:11" ht="15" customHeight="1">
      <c r="A830" s="161"/>
      <c r="B830" s="160"/>
      <c r="C830" s="934"/>
      <c r="D830" s="934"/>
      <c r="E830" s="984"/>
      <c r="F830" s="985"/>
      <c r="G830" s="984">
        <f>+VLOOKUP(Data_Validation!$A830,BV_Data_An_Cour!$M:$R,6,0)</f>
        <v>0</v>
      </c>
      <c r="H830" s="182"/>
    </row>
    <row r="831" spans="1:11" ht="15" customHeight="1">
      <c r="A831" s="161"/>
      <c r="B831" s="160"/>
      <c r="C831" s="934"/>
      <c r="D831" s="934"/>
      <c r="E831" s="984"/>
      <c r="F831" s="985"/>
      <c r="G831" s="984">
        <f>+VLOOKUP(Data_Validation!$A831,BV_Data_An_Cour!$M:$R,6,0)</f>
        <v>0</v>
      </c>
      <c r="H831" s="182"/>
    </row>
    <row r="832" spans="1:11" ht="15" customHeight="1">
      <c r="A832" s="161"/>
      <c r="B832" s="160"/>
      <c r="C832" s="934"/>
      <c r="D832" s="934"/>
      <c r="E832" s="984"/>
      <c r="F832" s="985"/>
      <c r="G832" s="984">
        <f>+VLOOKUP(Data_Validation!$A832,BV_Data_An_Cour!$M:$R,6,0)</f>
        <v>0</v>
      </c>
      <c r="H832" s="182"/>
      <c r="K832" s="2"/>
    </row>
    <row r="833" spans="1:29" ht="15" customHeight="1">
      <c r="A833" s="161"/>
      <c r="B833" s="160"/>
      <c r="C833" s="934"/>
      <c r="D833" s="934"/>
      <c r="E833" s="984"/>
      <c r="F833" s="985"/>
      <c r="G833" s="984">
        <f>+VLOOKUP(Data_Validation!$A833,BV_Data_An_Cour!$M:$R,6,0)</f>
        <v>0</v>
      </c>
      <c r="H833" s="182"/>
      <c r="K833" s="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row>
    <row r="841" spans="1:29" ht="15" customHeight="1">
      <c r="A841" s="160"/>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K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8" ht="15" customHeight="1">
      <c r="A849" s="161"/>
      <c r="B849" s="160"/>
      <c r="C849" s="934"/>
      <c r="D849" s="934"/>
      <c r="E849" s="984"/>
      <c r="F849" s="985"/>
      <c r="G849" s="984">
        <f>+VLOOKUP(Data_Validation!$A849,BV_Data_An_Cour!$M:$R,6,0)</f>
        <v>0</v>
      </c>
      <c r="H849" s="182"/>
    </row>
    <row r="850" spans="1:8" ht="15" customHeight="1">
      <c r="A850" s="161"/>
      <c r="B850" s="160"/>
      <c r="C850" s="934"/>
      <c r="D850" s="934"/>
      <c r="E850" s="984"/>
      <c r="F850" s="985"/>
      <c r="G850" s="984">
        <f>+VLOOKUP(Data_Validation!$A850,BV_Data_An_Cour!$M:$R,6,0)</f>
        <v>0</v>
      </c>
      <c r="H850" s="182"/>
    </row>
    <row r="851" spans="1:8" ht="15" customHeight="1">
      <c r="A851" s="161"/>
      <c r="B851" s="160"/>
      <c r="C851" s="934"/>
      <c r="D851" s="934"/>
      <c r="E851" s="984"/>
      <c r="F851" s="985"/>
      <c r="G851" s="984">
        <f>+VLOOKUP(Data_Validation!$A851,BV_Data_An_Cour!$M:$R,6,0)</f>
        <v>0</v>
      </c>
      <c r="H851" s="182"/>
    </row>
    <row r="852" spans="1:8" ht="15" customHeight="1">
      <c r="A852" s="160"/>
      <c r="B852" s="160"/>
      <c r="C852" s="934"/>
      <c r="D852" s="934"/>
      <c r="E852" s="984"/>
      <c r="F852" s="985"/>
      <c r="G852" s="984">
        <f>+VLOOKUP(Data_Validation!$A852,BV_Data_An_Cour!$M:$R,6,0)</f>
        <v>0</v>
      </c>
      <c r="H852" s="182"/>
    </row>
    <row r="853" spans="1:8" ht="15" customHeight="1">
      <c r="A853" s="160"/>
      <c r="B853" s="160"/>
      <c r="C853" s="934"/>
      <c r="D853" s="934"/>
      <c r="E853" s="984"/>
      <c r="F853" s="985"/>
      <c r="G853" s="984">
        <f>+VLOOKUP(Data_Validation!$A853,BV_Data_An_Cour!$M:$R,6,0)</f>
        <v>0</v>
      </c>
      <c r="H853" s="182"/>
    </row>
    <row r="854" spans="1:8" ht="15" customHeight="1">
      <c r="A854" s="161"/>
      <c r="B854" s="160"/>
      <c r="C854" s="934"/>
      <c r="D854" s="934"/>
      <c r="E854" s="984"/>
      <c r="F854" s="985"/>
      <c r="G854" s="984">
        <f>+VLOOKUP(Data_Validation!$A854,BV_Data_An_Cour!$M:$R,6,0)</f>
        <v>0</v>
      </c>
      <c r="H854" s="182"/>
    </row>
    <row r="855" spans="1:8" ht="15" customHeight="1">
      <c r="A855" s="161"/>
      <c r="B855" s="160"/>
      <c r="C855" s="934"/>
      <c r="D855" s="934"/>
      <c r="E855" s="984"/>
      <c r="F855" s="985"/>
      <c r="G855" s="984">
        <f>+VLOOKUP(Data_Validation!$A855,BV_Data_An_Cour!$M:$R,6,0)</f>
        <v>0</v>
      </c>
      <c r="H855" s="182"/>
    </row>
    <row r="856" spans="1:8" ht="15" customHeight="1">
      <c r="A856" s="161"/>
      <c r="B856" s="160"/>
      <c r="C856" s="934"/>
      <c r="D856" s="934"/>
      <c r="E856" s="984"/>
      <c r="F856" s="985"/>
      <c r="G856" s="984">
        <f>+VLOOKUP(Data_Validation!$A856,BV_Data_An_Cour!$M:$R,6,0)</f>
        <v>0</v>
      </c>
      <c r="H856" s="182"/>
    </row>
    <row r="857" spans="1:8" ht="15" customHeight="1">
      <c r="A857" s="161"/>
      <c r="B857" s="160"/>
      <c r="C857" s="934"/>
      <c r="D857" s="934"/>
      <c r="E857" s="984"/>
      <c r="F857" s="985"/>
      <c r="G857" s="984">
        <f>+VLOOKUP(Data_Validation!$A857,BV_Data_An_Cour!$M:$R,6,0)</f>
        <v>0</v>
      </c>
      <c r="H857" s="182"/>
    </row>
    <row r="858" spans="1:8" ht="15" customHeight="1">
      <c r="A858" s="161"/>
      <c r="B858" s="160"/>
      <c r="C858" s="934"/>
      <c r="D858" s="934"/>
      <c r="E858" s="984"/>
      <c r="F858" s="985"/>
      <c r="G858" s="984">
        <f>+VLOOKUP(Data_Validation!$A858,BV_Data_An_Cour!$M:$R,6,0)</f>
        <v>0</v>
      </c>
      <c r="H858" s="182"/>
    </row>
    <row r="859" spans="1:8" ht="15" customHeight="1">
      <c r="A859" s="161"/>
      <c r="B859" s="160"/>
      <c r="C859" s="934"/>
      <c r="D859" s="934"/>
      <c r="E859" s="984"/>
      <c r="F859" s="985"/>
      <c r="G859" s="984">
        <f>+VLOOKUP(Data_Validation!$A859,BV_Data_An_Cour!$M:$R,6,0)</f>
        <v>0</v>
      </c>
      <c r="H859" s="182"/>
    </row>
    <row r="860" spans="1:8" ht="15" customHeight="1">
      <c r="A860" s="161"/>
      <c r="B860" s="160"/>
      <c r="C860" s="934"/>
      <c r="D860" s="934"/>
      <c r="E860" s="984"/>
      <c r="F860" s="985"/>
      <c r="G860" s="984">
        <f>+VLOOKUP(Data_Validation!$A860,BV_Data_An_Cour!$M:$R,6,0)</f>
        <v>0</v>
      </c>
      <c r="H860" s="182"/>
    </row>
    <row r="861" spans="1:8" ht="15" customHeight="1">
      <c r="A861" s="161"/>
      <c r="B861" s="160"/>
      <c r="C861" s="934"/>
      <c r="D861" s="934"/>
      <c r="E861" s="984"/>
      <c r="F861" s="985"/>
      <c r="G861" s="984">
        <f>+VLOOKUP(Data_Validation!$A861,BV_Data_An_Cour!$M:$R,6,0)</f>
        <v>0</v>
      </c>
      <c r="H861" s="182"/>
    </row>
    <row r="862" spans="1:8" ht="15" customHeight="1">
      <c r="A862" s="161"/>
      <c r="B862" s="160"/>
      <c r="C862" s="934"/>
      <c r="D862" s="934"/>
      <c r="E862" s="984"/>
      <c r="F862" s="985"/>
      <c r="G862" s="984">
        <f>+VLOOKUP(Data_Validation!$A862,BV_Data_An_Cour!$M:$R,6,0)</f>
        <v>0</v>
      </c>
      <c r="H862" s="182"/>
    </row>
    <row r="863" spans="1:8" ht="15" customHeight="1">
      <c r="A863" s="161"/>
      <c r="B863" s="160"/>
      <c r="C863" s="934"/>
      <c r="D863" s="934"/>
      <c r="E863" s="984"/>
      <c r="F863" s="985"/>
      <c r="G863" s="984">
        <f>+VLOOKUP(Data_Validation!$A863,BV_Data_An_Cour!$M:$R,6,0)</f>
        <v>0</v>
      </c>
      <c r="H863" s="182"/>
    </row>
    <row r="864" spans="1:8"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2"/>
      <c r="B876" s="163"/>
      <c r="C876" s="934"/>
      <c r="D876" s="934"/>
      <c r="E876" s="984"/>
      <c r="F876" s="985"/>
      <c r="G876" s="984">
        <f>+VLOOKUP(Data_Validation!$A876,BV_Data_An_Cour!$M:$R,6,0)</f>
        <v>0</v>
      </c>
      <c r="H876" s="182"/>
    </row>
    <row r="877" spans="1:8" ht="15" customHeight="1">
      <c r="A877" s="160"/>
      <c r="B877" s="160"/>
      <c r="C877" s="934"/>
      <c r="D877" s="934"/>
      <c r="E877" s="984"/>
      <c r="F877" s="985"/>
      <c r="G877" s="984">
        <f>+VLOOKUP(Data_Validation!$A877,BV_Data_An_Cour!$M:$R,6,0)</f>
        <v>0</v>
      </c>
    </row>
    <row r="878" spans="1:8" ht="15" customHeight="1">
      <c r="A878" s="160"/>
      <c r="B878" s="160"/>
      <c r="C878" s="934"/>
      <c r="D878" s="934"/>
      <c r="E878" s="984"/>
      <c r="F878" s="985"/>
      <c r="G878" s="984">
        <f>+VLOOKUP(Data_Validation!$A878,BV_Data_An_Cour!$M:$R,6,0)</f>
        <v>0</v>
      </c>
    </row>
    <row r="879" spans="1:8" ht="15" customHeight="1">
      <c r="A879" s="161"/>
      <c r="B879" s="160"/>
      <c r="C879" s="934"/>
      <c r="D879" s="934"/>
      <c r="E879" s="984"/>
      <c r="F879" s="985"/>
      <c r="G879" s="984">
        <f>+VLOOKUP(Data_Validation!$A879,BV_Data_An_Cour!$M:$R,6,0)</f>
        <v>0</v>
      </c>
    </row>
    <row r="880" spans="1:8" ht="15" customHeight="1">
      <c r="A880" s="161"/>
      <c r="B880" s="160"/>
      <c r="C880" s="934"/>
      <c r="D880" s="934"/>
      <c r="E880" s="984"/>
      <c r="F880" s="985"/>
      <c r="G880" s="984">
        <f>+VLOOKUP(Data_Validation!$A880,BV_Data_An_Cour!$M:$R,6,0)</f>
        <v>0</v>
      </c>
    </row>
    <row r="881" spans="1:29" ht="15" customHeight="1">
      <c r="A881" s="161"/>
      <c r="B881" s="160"/>
      <c r="C881" s="934"/>
      <c r="D881" s="934"/>
      <c r="E881" s="984"/>
      <c r="F881" s="985"/>
      <c r="G881" s="984">
        <f>+VLOOKUP(Data_Validation!$A881,BV_Data_An_Cour!$M:$R,6,0)</f>
        <v>0</v>
      </c>
    </row>
    <row r="882" spans="1:29" ht="15" customHeight="1">
      <c r="A882" s="161"/>
      <c r="B882" s="160"/>
      <c r="C882" s="934"/>
      <c r="D882" s="934"/>
      <c r="E882" s="984"/>
      <c r="F882" s="985"/>
      <c r="G882" s="984">
        <f>+VLOOKUP(Data_Validation!$A882,BV_Data_An_Cour!$M:$R,6,0)</f>
        <v>0</v>
      </c>
    </row>
    <row r="883" spans="1:29" ht="15" customHeight="1">
      <c r="A883" s="161"/>
      <c r="B883" s="160"/>
      <c r="C883" s="934"/>
      <c r="D883" s="934"/>
      <c r="E883" s="984"/>
      <c r="F883" s="985"/>
      <c r="G883" s="984">
        <f>+VLOOKUP(Data_Validation!$A883,BV_Data_An_Cour!$M:$R,6,0)</f>
        <v>0</v>
      </c>
    </row>
    <row r="884" spans="1:29" ht="15" customHeight="1">
      <c r="A884" s="162"/>
      <c r="B884" s="163"/>
      <c r="C884" s="934"/>
      <c r="D884" s="934"/>
      <c r="E884" s="987"/>
      <c r="F884" s="987"/>
      <c r="G884" s="987">
        <f>+VLOOKUP(Data_Validation!$A884,BV_Data_An_Cour!$M:$R,6,0)</f>
        <v>0</v>
      </c>
    </row>
    <row r="885" spans="1:29" ht="15" customHeight="1">
      <c r="A885" s="161"/>
      <c r="B885" s="160"/>
      <c r="C885" s="934"/>
      <c r="D885" s="934"/>
      <c r="E885" s="984"/>
      <c r="F885" s="985"/>
      <c r="G885" s="984">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2"/>
      <c r="B886" s="163"/>
      <c r="C886" s="934"/>
      <c r="D886" s="934"/>
      <c r="E886" s="987"/>
      <c r="F886" s="987"/>
      <c r="G886" s="987">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2"/>
      <c r="B889" s="163"/>
      <c r="C889" s="934"/>
      <c r="D889" s="934"/>
      <c r="E889" s="987"/>
      <c r="F889" s="987"/>
      <c r="G889" s="987">
        <f>+VLOOKUP(Data_Validation!$A889,BV_Data_An_Cour!$M:$R,6,0)</f>
        <v>0</v>
      </c>
    </row>
    <row r="890" spans="1:29" ht="15" customHeight="1">
      <c r="A890" s="160"/>
      <c r="B890" s="160"/>
      <c r="C890" s="934"/>
      <c r="D890" s="934"/>
      <c r="E890" s="984"/>
      <c r="F890" s="985"/>
      <c r="G890" s="984">
        <f>+VLOOKUP(Data_Validation!$A890,BV_Data_An_Cour!$M:$R,6,0)</f>
        <v>0</v>
      </c>
    </row>
    <row r="891" spans="1:29" ht="15" customHeight="1">
      <c r="A891" s="162"/>
      <c r="B891" s="163"/>
      <c r="C891" s="934"/>
      <c r="D891" s="934"/>
      <c r="E891" s="987"/>
      <c r="F891" s="987"/>
      <c r="G891" s="987">
        <f>+VLOOKUP(Data_Validation!$A891,BV_Data_An_Cour!$M:$R,6,0)</f>
        <v>0</v>
      </c>
      <c r="H891" s="532"/>
    </row>
    <row r="892" spans="1:29" ht="15" customHeight="1">
      <c r="A892" s="161"/>
      <c r="B892" s="160"/>
      <c r="C892" s="934"/>
      <c r="D892" s="934"/>
      <c r="E892" s="984"/>
      <c r="F892" s="985"/>
      <c r="G892" s="984">
        <f>+VLOOKUP(Data_Validation!$A892,BV_Data_An_Cour!$M:$R,6,0)</f>
        <v>0</v>
      </c>
      <c r="H892" s="157"/>
    </row>
    <row r="893" spans="1:29" ht="15" customHeight="1">
      <c r="A893" s="162"/>
      <c r="B893" s="163"/>
      <c r="C893" s="934"/>
      <c r="D893" s="934"/>
      <c r="E893" s="987"/>
      <c r="F893" s="987"/>
      <c r="G893" s="987">
        <f>+VLOOKUP(Data_Validation!$A893,BV_Data_An_Cour!$M:$R,6,0)</f>
        <v>0</v>
      </c>
      <c r="H893" s="157"/>
    </row>
    <row r="894" spans="1:29" ht="15" customHeight="1">
      <c r="A894" s="161"/>
      <c r="B894" s="160"/>
      <c r="C894" s="934"/>
      <c r="D894" s="934"/>
      <c r="E894" s="984"/>
      <c r="F894" s="985"/>
      <c r="G894" s="984">
        <f>+VLOOKUP(Data_Validation!$A894,BV_Data_An_Cour!$M:$R,6,0)</f>
        <v>0</v>
      </c>
      <c r="H894" s="157"/>
    </row>
    <row r="895" spans="1:29" ht="15" customHeight="1">
      <c r="A895" s="162"/>
      <c r="B895" s="163"/>
      <c r="C895" s="934"/>
      <c r="D895" s="934"/>
      <c r="E895" s="987"/>
      <c r="F895" s="987"/>
      <c r="G895" s="987">
        <f>+VLOOKUP(Data_Validation!$A895,BV_Data_An_Cour!$M:$R,6,0)</f>
        <v>0</v>
      </c>
      <c r="H895" s="157"/>
    </row>
    <row r="896" spans="1:29" ht="15" customHeight="1">
      <c r="A896" s="161"/>
      <c r="B896" s="160"/>
      <c r="C896" s="934"/>
      <c r="D896" s="934"/>
      <c r="E896" s="984"/>
      <c r="F896" s="985"/>
      <c r="G896" s="984">
        <f>+VLOOKUP(Data_Validation!$A896,BV_Data_An_Cour!$M:$R,6,0)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2"/>
      <c r="B897" s="163"/>
      <c r="C897" s="934"/>
      <c r="D897" s="934"/>
      <c r="E897" s="987"/>
      <c r="F897" s="987"/>
      <c r="G897" s="987">
        <f>+VLOOKUP(Data_Validation!$A897,BV_Data_An_Cour!$M:$R,6,0)</f>
        <v>0</v>
      </c>
      <c r="H897" s="157"/>
    </row>
    <row r="898" spans="1:29" ht="15" customHeight="1">
      <c r="A898" s="161"/>
      <c r="B898" s="160"/>
      <c r="C898" s="934"/>
      <c r="D898" s="934"/>
      <c r="E898" s="984"/>
      <c r="F898" s="985"/>
      <c r="G898" s="984">
        <f>+VLOOKUP(Data_Validation!$A898,BV_Data_An_Cour!$M:$R,6,0)</f>
        <v>0</v>
      </c>
      <c r="H898" s="157"/>
    </row>
    <row r="899" spans="1:29" ht="15" customHeight="1">
      <c r="A899" s="162"/>
      <c r="B899" s="163"/>
      <c r="C899" s="934"/>
      <c r="D899" s="934"/>
      <c r="E899" s="987"/>
      <c r="F899" s="987"/>
      <c r="G899" s="987">
        <f>+VLOOKUP(Data_Validation!$A899,BV_Data_An_Cour!$M:$R,6,0)</f>
        <v>0</v>
      </c>
      <c r="H899" s="157"/>
    </row>
    <row r="900" spans="1:29" ht="15" customHeight="1">
      <c r="A900" s="160"/>
      <c r="B900" s="160"/>
      <c r="C900" s="934"/>
      <c r="D900" s="934"/>
      <c r="E900" s="984"/>
      <c r="F900" s="985"/>
      <c r="G900" s="984">
        <f>+VLOOKUP(Data_Validation!$A900,BV_Data_An_Cour!$M:$R,6,0)</f>
        <v>0</v>
      </c>
      <c r="H900" s="157"/>
    </row>
    <row r="901" spans="1:29" ht="15" customHeight="1">
      <c r="A901" s="160"/>
      <c r="B901" s="160"/>
      <c r="C901" s="934"/>
      <c r="D901" s="934"/>
      <c r="E901" s="984"/>
      <c r="F901" s="985"/>
      <c r="G901" s="984">
        <f>+VLOOKUP(Data_Validation!$A901,BV_Data_An_Cour!$M:$R,6,0)</f>
        <v>0</v>
      </c>
      <c r="H901" s="157"/>
    </row>
    <row r="902" spans="1:29" ht="15" customHeight="1">
      <c r="A902" s="160"/>
      <c r="B902" s="160"/>
      <c r="C902" s="934"/>
      <c r="D902" s="934"/>
      <c r="E902" s="984"/>
      <c r="F902" s="985"/>
      <c r="G902" s="984">
        <f>+VLOOKUP(Data_Validation!$A902,BV_Data_An_Cour!$M:$R,6,0)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4"/>
      <c r="F903" s="985"/>
      <c r="G903" s="984">
        <f>+VLOOKUP(Data_Validation!$A903,BV_Data_An_Cour!$M:$R,6,0)</f>
        <v>0</v>
      </c>
      <c r="H903" s="157"/>
    </row>
    <row r="904" spans="1:29" ht="15" customHeight="1">
      <c r="A904" s="160"/>
      <c r="B904" s="160"/>
      <c r="C904" s="934"/>
      <c r="D904" s="934"/>
      <c r="E904" s="984"/>
      <c r="F904" s="985"/>
      <c r="G904" s="984">
        <f>+VLOOKUP(Data_Validation!$A904,BV_Data_An_Cour!$M:$R,6,0)</f>
        <v>0</v>
      </c>
      <c r="H904" s="157"/>
    </row>
    <row r="905" spans="1:29" ht="15" customHeight="1">
      <c r="A905" s="160"/>
      <c r="B905" s="160"/>
      <c r="C905" s="934"/>
      <c r="D905" s="934"/>
      <c r="E905" s="984"/>
      <c r="F905" s="985"/>
      <c r="G905" s="984">
        <f>+VLOOKUP(Data_Validation!$A905,BV_Data_An_Cour!$M:$R,6,0)</f>
        <v>0</v>
      </c>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1"/>
      <c r="B906" s="165"/>
      <c r="C906" s="934"/>
      <c r="D906" s="934"/>
      <c r="E906" s="984"/>
      <c r="F906" s="985"/>
      <c r="G906" s="984"/>
      <c r="H906" s="157"/>
    </row>
    <row r="907" spans="1:29" ht="15" customHeight="1">
      <c r="A907" s="161"/>
      <c r="B907" s="165"/>
      <c r="C907" s="934"/>
      <c r="D907" s="934"/>
      <c r="E907" s="984"/>
      <c r="F907" s="985"/>
      <c r="G907" s="984"/>
      <c r="H907" s="157"/>
    </row>
    <row r="908" spans="1:29" ht="15" customHeight="1">
      <c r="A908" s="161"/>
      <c r="B908" s="165"/>
      <c r="C908" s="934"/>
      <c r="D908" s="934"/>
      <c r="E908" s="984"/>
      <c r="F908" s="985"/>
      <c r="G908" s="984"/>
      <c r="H908" s="157"/>
    </row>
    <row r="909" spans="1:29" ht="15" customHeight="1">
      <c r="A909" s="161"/>
      <c r="B909" s="165"/>
      <c r="C909" s="934"/>
      <c r="D909" s="934"/>
      <c r="E909" s="984"/>
      <c r="F909" s="985"/>
      <c r="G909" s="984"/>
      <c r="H909" s="157"/>
    </row>
    <row r="910" spans="1:29" ht="15" customHeight="1">
      <c r="A910" s="161"/>
      <c r="B910" s="165"/>
      <c r="C910" s="934"/>
      <c r="D910" s="934"/>
      <c r="E910" s="984"/>
      <c r="F910" s="985"/>
      <c r="G910" s="984"/>
      <c r="H910" s="157"/>
    </row>
    <row r="911" spans="1:29" ht="15" customHeight="1">
      <c r="A911" s="161"/>
      <c r="B911" s="165"/>
      <c r="C911" s="934"/>
      <c r="D911" s="934"/>
      <c r="E911" s="984"/>
      <c r="F911" s="985"/>
      <c r="G911" s="984"/>
      <c r="H911" s="157"/>
    </row>
    <row r="912" spans="1:29" ht="15" customHeight="1">
      <c r="A912" s="161"/>
      <c r="B912" s="165"/>
      <c r="C912" s="934"/>
      <c r="D912" s="934"/>
      <c r="E912" s="984"/>
      <c r="F912" s="985"/>
      <c r="G912" s="984"/>
      <c r="H912" s="157"/>
    </row>
    <row r="913" spans="1:8" ht="15" customHeight="1">
      <c r="A913" s="1001"/>
      <c r="B913" s="994"/>
      <c r="C913" s="995"/>
      <c r="D913" s="934"/>
      <c r="E913" s="984"/>
      <c r="F913" s="985"/>
      <c r="G913" s="984"/>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61"/>
      <c r="B921" s="165"/>
      <c r="C921" s="934"/>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942"/>
      <c r="B925" s="165"/>
      <c r="C925" s="934"/>
      <c r="D925" s="934"/>
      <c r="E925" s="984"/>
      <c r="F925" s="985"/>
      <c r="G925" s="984"/>
      <c r="H925" s="157"/>
    </row>
    <row r="926" spans="1:8" ht="15" customHeight="1">
      <c r="A926" s="942"/>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943"/>
      <c r="B930" s="1004"/>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161"/>
      <c r="B933" s="165"/>
      <c r="C933" s="934"/>
      <c r="D933" s="934"/>
      <c r="E933" s="984"/>
      <c r="F933" s="985"/>
      <c r="G933" s="984"/>
      <c r="H933" s="157"/>
    </row>
    <row r="934" spans="1:11" ht="15" customHeight="1">
      <c r="A934" s="161"/>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c r="K936" s="2"/>
    </row>
    <row r="937" spans="1:11" ht="15" customHeight="1">
      <c r="A937" s="161"/>
      <c r="B937" s="165"/>
      <c r="C937" s="934"/>
      <c r="D937" s="934"/>
      <c r="E937" s="984"/>
      <c r="F937" s="985"/>
      <c r="G937" s="984"/>
      <c r="H937" s="157"/>
    </row>
    <row r="938" spans="1:11" ht="15" customHeight="1">
      <c r="A938" s="161"/>
      <c r="B938" s="16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934"/>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c r="K947" s="2"/>
    </row>
    <row r="948" spans="1:11" ht="15" customHeight="1">
      <c r="A948" s="161"/>
      <c r="B948" s="165"/>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c r="K953" s="2"/>
    </row>
    <row r="954" spans="1:11" ht="15" customHeight="1">
      <c r="A954" s="161"/>
      <c r="B954" s="165"/>
      <c r="C954" s="934"/>
      <c r="D954" s="934"/>
      <c r="E954" s="984"/>
      <c r="F954" s="985"/>
      <c r="G954" s="984"/>
      <c r="H954" s="157"/>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c r="K956" s="2"/>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005"/>
      <c r="B967" s="166"/>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7"/>
    </row>
    <row r="974" spans="1:29" ht="15" customHeight="1">
      <c r="A974" s="161"/>
      <c r="B974" s="165"/>
      <c r="C974" s="934"/>
      <c r="D974" s="934"/>
      <c r="E974" s="984"/>
      <c r="F974" s="985"/>
      <c r="G974" s="984"/>
      <c r="H974" s="157"/>
    </row>
    <row r="975" spans="1:29" ht="15" customHeight="1">
      <c r="A975" s="161"/>
      <c r="B975" s="165"/>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c r="M977" s="2"/>
      <c r="N977" s="2"/>
      <c r="O977" s="2"/>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005"/>
      <c r="B984" s="166"/>
      <c r="C984" s="934"/>
      <c r="D984" s="934"/>
      <c r="E984" s="984"/>
      <c r="F984" s="985"/>
      <c r="G984" s="984"/>
      <c r="H984" s="157"/>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61"/>
      <c r="B992" s="165"/>
      <c r="C992" s="934"/>
      <c r="D992" s="934"/>
      <c r="E992" s="984"/>
      <c r="F992" s="985"/>
      <c r="G992" s="984"/>
      <c r="H992" s="157"/>
    </row>
    <row r="993" spans="1:29" ht="15" customHeight="1">
      <c r="A993" s="161"/>
      <c r="B993" s="165"/>
      <c r="C993" s="934"/>
      <c r="D993" s="934"/>
      <c r="E993" s="984"/>
      <c r="F993" s="985"/>
      <c r="G993" s="984"/>
      <c r="H993" s="157"/>
    </row>
    <row r="994" spans="1:29" ht="15" customHeight="1">
      <c r="A994" s="161"/>
      <c r="B994" s="165"/>
      <c r="C994" s="934"/>
      <c r="D994" s="934"/>
      <c r="E994" s="984"/>
      <c r="F994" s="985"/>
      <c r="G994" s="984"/>
      <c r="H994" s="157"/>
    </row>
    <row r="995" spans="1:29" ht="15" customHeight="1">
      <c r="A995" s="161"/>
      <c r="B995" s="165"/>
      <c r="C995" s="934"/>
      <c r="D995" s="934"/>
      <c r="E995" s="984"/>
      <c r="F995" s="985"/>
      <c r="G995" s="984"/>
      <c r="H995" s="157"/>
    </row>
    <row r="996" spans="1:29" ht="15" customHeight="1">
      <c r="A996" s="161"/>
      <c r="B996" s="165"/>
      <c r="C996" s="934"/>
      <c r="D996" s="934"/>
      <c r="E996" s="984"/>
      <c r="F996" s="985"/>
      <c r="G996" s="984"/>
      <c r="H996" s="157"/>
    </row>
    <row r="997" spans="1:29" ht="15" customHeight="1">
      <c r="A997" s="161"/>
      <c r="B997" s="165"/>
      <c r="C997" s="934"/>
      <c r="D997" s="934"/>
      <c r="E997" s="984"/>
      <c r="F997" s="985"/>
      <c r="G997" s="984"/>
      <c r="H997" s="157"/>
    </row>
    <row r="998" spans="1:29" ht="15" customHeight="1">
      <c r="A998" s="161"/>
      <c r="B998" s="165"/>
      <c r="C998" s="934"/>
      <c r="D998" s="934"/>
      <c r="E998" s="984"/>
      <c r="F998" s="985"/>
      <c r="G998" s="984"/>
      <c r="H998" s="157"/>
    </row>
    <row r="999" spans="1:29" ht="15" customHeight="1">
      <c r="A999" s="161"/>
      <c r="B999" s="165"/>
      <c r="C999" s="934"/>
      <c r="D999" s="934"/>
      <c r="E999" s="984"/>
      <c r="F999" s="985"/>
      <c r="G999" s="984"/>
      <c r="H999" s="157"/>
    </row>
    <row r="1000" spans="1:29" ht="15" customHeight="1">
      <c r="A1000" s="161"/>
      <c r="B1000" s="165"/>
      <c r="C1000" s="934"/>
      <c r="D1000" s="934"/>
      <c r="E1000" s="984"/>
      <c r="F1000" s="985"/>
      <c r="G1000" s="984"/>
      <c r="H1000" s="157"/>
    </row>
    <row r="1001" spans="1:29" ht="15" customHeight="1">
      <c r="A1001" s="161"/>
      <c r="B1001" s="165"/>
      <c r="C1001" s="934"/>
      <c r="D1001" s="934"/>
      <c r="E1001" s="984"/>
      <c r="F1001" s="985"/>
      <c r="G1001" s="984"/>
      <c r="H1001" s="157"/>
    </row>
    <row r="1002" spans="1:29" ht="15" customHeight="1">
      <c r="A1002" s="161"/>
      <c r="B1002" s="934"/>
      <c r="C1002" s="934"/>
      <c r="D1002" s="934"/>
      <c r="E1002" s="984"/>
      <c r="F1002" s="985"/>
      <c r="G1002" s="984"/>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165"/>
      <c r="C1003" s="934"/>
      <c r="D1003" s="934"/>
      <c r="E1003" s="984"/>
      <c r="F1003" s="985"/>
      <c r="G1003" s="984"/>
      <c r="H1003" s="157"/>
    </row>
    <row r="1004" spans="1:29" ht="15" customHeight="1">
      <c r="A1004" s="161"/>
      <c r="B1004" s="165"/>
      <c r="C1004" s="934"/>
      <c r="D1004" s="934"/>
      <c r="E1004" s="984"/>
      <c r="F1004" s="985"/>
      <c r="G1004" s="984"/>
      <c r="H1004" s="157"/>
    </row>
    <row r="1005" spans="1:29" ht="15" customHeight="1">
      <c r="A1005" s="167"/>
      <c r="B1005" s="168"/>
      <c r="C1005" s="169"/>
      <c r="D1005" s="169"/>
      <c r="E1005" s="984"/>
      <c r="F1005" s="985"/>
      <c r="G1005" s="984"/>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1"/>
      <c r="B1006" s="165"/>
      <c r="C1006" s="934"/>
      <c r="D1006" s="934"/>
      <c r="E1006" s="984"/>
      <c r="F1006" s="985"/>
      <c r="G1006" s="984"/>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4"/>
      <c r="F1007" s="985"/>
      <c r="G1007" s="984"/>
      <c r="H1007" s="157"/>
    </row>
    <row r="1008" spans="1:29"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7"/>
      <c r="K1009" s="2"/>
    </row>
    <row r="1010" spans="1:29" ht="15" customHeight="1">
      <c r="A1010" s="161"/>
      <c r="B1010" s="165"/>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4"/>
      <c r="F1013" s="985"/>
      <c r="G1013" s="984"/>
      <c r="H1013" s="157"/>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row>
    <row r="1017" spans="1:29" ht="15" customHeight="1">
      <c r="A1017" s="161"/>
      <c r="B1017" s="165"/>
      <c r="C1017" s="934"/>
      <c r="D1017" s="934"/>
      <c r="E1017" s="984"/>
      <c r="F1017" s="985"/>
      <c r="G1017" s="984"/>
      <c r="H1017" s="157"/>
      <c r="K1017" s="2"/>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7"/>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943"/>
      <c r="B1038" s="994"/>
      <c r="C1038" s="995"/>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11" ht="15" customHeight="1">
      <c r="A1041" s="161"/>
      <c r="B1041" s="165"/>
      <c r="C1041" s="934"/>
      <c r="D1041" s="934"/>
      <c r="E1041" s="984"/>
      <c r="F1041" s="985"/>
      <c r="G1041" s="984"/>
      <c r="H1041" s="157"/>
    </row>
    <row r="1042" spans="1:11" ht="15" customHeight="1">
      <c r="A1042" s="161"/>
      <c r="B1042" s="165"/>
      <c r="C1042" s="934"/>
      <c r="D1042" s="934"/>
      <c r="E1042" s="984"/>
      <c r="F1042" s="985"/>
      <c r="G1042" s="984"/>
      <c r="H1042" s="157"/>
    </row>
    <row r="1043" spans="1:11" ht="15" customHeight="1">
      <c r="A1043" s="161"/>
      <c r="B1043" s="165"/>
      <c r="C1043" s="934"/>
      <c r="D1043" s="934"/>
      <c r="E1043" s="984"/>
      <c r="F1043" s="985"/>
      <c r="G1043" s="984"/>
      <c r="H1043" s="157"/>
    </row>
    <row r="1044" spans="1:11" ht="15" customHeight="1">
      <c r="A1044" s="161"/>
      <c r="B1044" s="165"/>
      <c r="C1044" s="934"/>
      <c r="D1044" s="934"/>
      <c r="E1044" s="984"/>
      <c r="F1044" s="985"/>
      <c r="G1044" s="984"/>
      <c r="H1044" s="157"/>
    </row>
    <row r="1045" spans="1:11" ht="15" customHeight="1">
      <c r="A1045" s="161"/>
      <c r="B1045" s="165"/>
      <c r="C1045" s="934"/>
      <c r="D1045" s="934"/>
      <c r="E1045" s="984"/>
      <c r="F1045" s="985"/>
      <c r="G1045" s="984"/>
      <c r="H1045" s="157"/>
    </row>
    <row r="1046" spans="1:11" ht="15" customHeight="1">
      <c r="A1046" s="161"/>
      <c r="B1046" s="165"/>
      <c r="C1046" s="934"/>
      <c r="D1046" s="934"/>
      <c r="E1046" s="984"/>
      <c r="F1046" s="985"/>
      <c r="G1046" s="984"/>
      <c r="H1046" s="157"/>
    </row>
    <row r="1047" spans="1:11" ht="15" customHeight="1">
      <c r="A1047" s="161"/>
      <c r="B1047" s="165"/>
      <c r="C1047" s="934"/>
      <c r="D1047" s="934"/>
      <c r="E1047" s="984"/>
      <c r="F1047" s="985"/>
      <c r="G1047" s="984"/>
      <c r="H1047" s="157"/>
    </row>
    <row r="1048" spans="1:11" ht="15" customHeight="1">
      <c r="A1048" s="161"/>
      <c r="B1048" s="165"/>
      <c r="C1048" s="934"/>
      <c r="D1048" s="934"/>
      <c r="E1048" s="984"/>
      <c r="F1048" s="985"/>
      <c r="G1048" s="984"/>
      <c r="H1048" s="157"/>
    </row>
    <row r="1049" spans="1:11" ht="15" customHeight="1">
      <c r="A1049" s="161"/>
      <c r="B1049" s="165"/>
      <c r="C1049" s="934"/>
      <c r="D1049" s="934"/>
      <c r="E1049" s="984"/>
      <c r="F1049" s="985"/>
      <c r="G1049" s="984"/>
      <c r="H1049" s="157"/>
    </row>
    <row r="1050" spans="1:11" ht="15" customHeight="1">
      <c r="A1050" s="161"/>
      <c r="B1050" s="165"/>
      <c r="C1050" s="934"/>
      <c r="D1050" s="934"/>
      <c r="E1050" s="984"/>
      <c r="F1050" s="985"/>
      <c r="G1050" s="984"/>
      <c r="H1050" s="157"/>
    </row>
    <row r="1051" spans="1:11" ht="15" customHeight="1">
      <c r="A1051" s="161"/>
      <c r="B1051" s="165"/>
      <c r="C1051" s="934"/>
      <c r="D1051" s="934"/>
      <c r="E1051" s="984"/>
      <c r="F1051" s="985"/>
      <c r="G1051" s="984"/>
      <c r="H1051" s="157"/>
    </row>
    <row r="1052" spans="1:11" ht="15" customHeight="1">
      <c r="A1052" s="161"/>
      <c r="B1052" s="165"/>
      <c r="C1052" s="934"/>
      <c r="D1052" s="934"/>
      <c r="E1052" s="984"/>
      <c r="F1052" s="985"/>
      <c r="G1052" s="984"/>
      <c r="H1052" s="157"/>
    </row>
    <row r="1053" spans="1:11" ht="15" customHeight="1">
      <c r="A1053" s="161"/>
      <c r="B1053" s="165"/>
      <c r="C1053" s="934"/>
      <c r="D1053" s="934"/>
      <c r="E1053" s="984"/>
      <c r="F1053" s="985"/>
      <c r="G1053" s="984"/>
      <c r="H1053" s="157"/>
    </row>
    <row r="1054" spans="1:11" ht="15" customHeight="1">
      <c r="A1054" s="161"/>
      <c r="B1054" s="165"/>
      <c r="C1054" s="934"/>
      <c r="D1054" s="934"/>
      <c r="E1054" s="984"/>
      <c r="F1054" s="985"/>
      <c r="G1054" s="984"/>
      <c r="H1054" s="157"/>
    </row>
    <row r="1055" spans="1:11" ht="15" customHeight="1">
      <c r="A1055" s="161"/>
      <c r="B1055" s="165"/>
      <c r="C1055" s="934"/>
      <c r="D1055" s="934"/>
      <c r="E1055" s="984"/>
      <c r="F1055" s="985"/>
      <c r="G1055" s="984"/>
      <c r="H1055" s="157"/>
    </row>
    <row r="1056" spans="1:11" ht="15" customHeight="1">
      <c r="A1056" s="161"/>
      <c r="B1056" s="165"/>
      <c r="C1056" s="934"/>
      <c r="D1056" s="934"/>
      <c r="E1056" s="984"/>
      <c r="F1056" s="985"/>
      <c r="G1056" s="984"/>
      <c r="H1056" s="157"/>
      <c r="K1056" s="2"/>
    </row>
    <row r="1057" spans="1:29" ht="15" customHeight="1">
      <c r="A1057" s="161"/>
      <c r="B1057" s="165"/>
      <c r="C1057" s="934"/>
      <c r="D1057" s="934"/>
      <c r="E1057" s="984"/>
      <c r="F1057" s="985"/>
      <c r="G1057" s="984"/>
      <c r="H1057" s="157"/>
      <c r="K1057" s="2"/>
    </row>
    <row r="1058" spans="1:29" ht="15" customHeight="1">
      <c r="A1058" s="161"/>
      <c r="B1058" s="165"/>
      <c r="C1058" s="934"/>
      <c r="D1058" s="934"/>
      <c r="E1058" s="984"/>
      <c r="F1058" s="985"/>
      <c r="G1058" s="984"/>
      <c r="H1058" s="157"/>
    </row>
    <row r="1059" spans="1:29" ht="15" customHeight="1">
      <c r="A1059" s="161"/>
      <c r="B1059" s="165"/>
      <c r="C1059" s="934"/>
      <c r="D1059" s="934"/>
      <c r="E1059" s="984"/>
      <c r="F1059" s="985"/>
      <c r="G1059" s="984"/>
      <c r="H1059" s="157"/>
    </row>
    <row r="1060" spans="1:29" ht="15" customHeight="1">
      <c r="A1060" s="161"/>
      <c r="B1060" s="165"/>
      <c r="C1060" s="934"/>
      <c r="D1060" s="934"/>
      <c r="E1060" s="984"/>
      <c r="F1060" s="985"/>
      <c r="G1060" s="984"/>
      <c r="H1060" s="157"/>
    </row>
    <row r="1061" spans="1:29" ht="15" customHeight="1">
      <c r="A1061" s="161"/>
      <c r="B1061" s="166"/>
      <c r="C1061" s="934"/>
      <c r="D1061" s="934"/>
      <c r="E1061" s="984"/>
      <c r="F1061" s="985"/>
      <c r="G1061" s="984"/>
      <c r="H1061" s="157"/>
    </row>
    <row r="1062" spans="1:29" ht="15.75" customHeight="1">
      <c r="A1062" s="161"/>
      <c r="B1062" s="165"/>
      <c r="C1062" s="934"/>
      <c r="D1062" s="934"/>
      <c r="E1062" s="984"/>
      <c r="F1062" s="985"/>
      <c r="G1062" s="984"/>
      <c r="H1062" s="157"/>
    </row>
    <row r="1063" spans="1:29" ht="15.75" customHeight="1">
      <c r="A1063" s="161"/>
      <c r="B1063" s="165"/>
      <c r="C1063" s="934"/>
      <c r="D1063" s="934"/>
      <c r="E1063" s="984"/>
      <c r="F1063" s="985"/>
      <c r="G1063" s="984"/>
      <c r="H1063" s="157"/>
      <c r="K1063" s="2"/>
    </row>
    <row r="1064" spans="1:29" ht="15.75" customHeight="1">
      <c r="A1064" s="161"/>
      <c r="B1064" s="165"/>
      <c r="C1064" s="934"/>
      <c r="D1064" s="934"/>
      <c r="E1064" s="984"/>
      <c r="F1064" s="985"/>
      <c r="G1064" s="984"/>
      <c r="H1064" s="157"/>
    </row>
    <row r="1065" spans="1:29" ht="15.75" customHeight="1">
      <c r="A1065" s="161"/>
      <c r="B1065" s="165"/>
      <c r="C1065" s="934"/>
      <c r="D1065" s="934"/>
      <c r="E1065" s="984"/>
      <c r="F1065" s="985"/>
      <c r="G1065" s="984"/>
      <c r="H1065" s="157"/>
    </row>
    <row r="1066" spans="1:29" ht="15.75" customHeight="1">
      <c r="A1066" s="161"/>
      <c r="B1066" s="165"/>
      <c r="C1066" s="934"/>
      <c r="D1066" s="934"/>
      <c r="E1066" s="984"/>
      <c r="F1066" s="985"/>
      <c r="G1066" s="984"/>
      <c r="H1066" s="157"/>
    </row>
    <row r="1067" spans="1:29" ht="15.75" customHeight="1">
      <c r="A1067" s="161"/>
      <c r="B1067" s="165"/>
      <c r="C1067" s="934"/>
      <c r="D1067" s="934"/>
      <c r="E1067" s="984"/>
      <c r="F1067" s="985"/>
      <c r="G1067" s="984"/>
      <c r="H1067" s="157"/>
    </row>
    <row r="1068" spans="1:29" ht="15.75" customHeight="1">
      <c r="A1068" s="161"/>
      <c r="B1068" s="165"/>
      <c r="C1068" s="934"/>
      <c r="D1068" s="934"/>
      <c r="E1068" s="984"/>
      <c r="F1068" s="985"/>
      <c r="G1068" s="984"/>
      <c r="H1068" s="157"/>
    </row>
    <row r="1069" spans="1:29" ht="15.75" customHeight="1">
      <c r="A1069" s="161"/>
      <c r="B1069" s="165"/>
      <c r="C1069" s="934"/>
      <c r="D1069" s="934"/>
      <c r="E1069" s="984"/>
      <c r="F1069" s="985"/>
      <c r="G1069" s="984"/>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4"/>
      <c r="F1070" s="985"/>
      <c r="G1070" s="984"/>
      <c r="H1070" s="157"/>
    </row>
    <row r="1071" spans="1:29" ht="15.75" customHeight="1">
      <c r="A1071" s="161"/>
      <c r="B1071" s="165"/>
      <c r="C1071" s="934"/>
      <c r="D1071" s="934"/>
      <c r="E1071" s="984"/>
      <c r="F1071" s="985"/>
      <c r="G1071" s="984"/>
      <c r="H1071" s="157"/>
    </row>
    <row r="1072" spans="1:29" ht="15.75" customHeight="1">
      <c r="A1072" s="161"/>
      <c r="B1072" s="165"/>
      <c r="C1072" s="934"/>
      <c r="D1072" s="934"/>
      <c r="E1072" s="984"/>
      <c r="F1072" s="985"/>
      <c r="G1072" s="984"/>
      <c r="H1072" s="157"/>
    </row>
    <row r="1073" spans="1:11" ht="15.75" customHeight="1">
      <c r="A1073" s="161"/>
      <c r="B1073" s="165"/>
      <c r="C1073" s="934"/>
      <c r="D1073" s="934"/>
      <c r="E1073" s="984"/>
      <c r="F1073" s="985"/>
      <c r="G1073" s="984"/>
      <c r="H1073" s="157"/>
    </row>
    <row r="1074" spans="1:11" ht="15.75" customHeight="1">
      <c r="A1074" s="161"/>
      <c r="B1074" s="165"/>
      <c r="C1074" s="934"/>
      <c r="D1074" s="934"/>
      <c r="E1074" s="984"/>
      <c r="F1074" s="985"/>
      <c r="G1074" s="984"/>
      <c r="H1074" s="157"/>
    </row>
    <row r="1075" spans="1:11" ht="15.75" customHeight="1">
      <c r="A1075" s="161"/>
      <c r="B1075" s="165"/>
      <c r="C1075" s="934"/>
      <c r="D1075" s="934"/>
      <c r="E1075" s="984"/>
      <c r="F1075" s="985"/>
      <c r="G1075" s="984"/>
      <c r="H1075" s="157"/>
    </row>
    <row r="1076" spans="1:11" ht="15.75" customHeight="1">
      <c r="A1076" s="161"/>
      <c r="B1076" s="165"/>
      <c r="C1076" s="934"/>
      <c r="D1076" s="934"/>
      <c r="E1076" s="984"/>
      <c r="F1076" s="985"/>
      <c r="G1076" s="984"/>
      <c r="H1076" s="157"/>
      <c r="K1076" s="2"/>
    </row>
    <row r="1077" spans="1:11" ht="15.75" customHeight="1">
      <c r="A1077" s="161"/>
      <c r="B1077" s="165"/>
      <c r="C1077" s="934"/>
      <c r="D1077" s="934"/>
      <c r="E1077" s="984"/>
      <c r="F1077" s="985"/>
      <c r="G1077" s="984"/>
      <c r="H1077" s="157"/>
    </row>
    <row r="1078" spans="1:11" ht="15.75" customHeight="1">
      <c r="A1078" s="161"/>
      <c r="B1078" s="165"/>
      <c r="C1078" s="934"/>
      <c r="D1078" s="934"/>
      <c r="E1078" s="984"/>
      <c r="F1078" s="985"/>
      <c r="G1078" s="984"/>
      <c r="H1078" s="157"/>
    </row>
    <row r="1079" spans="1:11" ht="15.75" customHeight="1">
      <c r="A1079" s="161"/>
      <c r="B1079" s="165"/>
      <c r="C1079" s="934"/>
      <c r="D1079" s="934"/>
      <c r="E1079" s="984"/>
      <c r="F1079" s="985"/>
      <c r="G1079" s="984"/>
      <c r="H1079" s="157"/>
    </row>
    <row r="1080" spans="1:11" ht="15.75" customHeight="1">
      <c r="A1080" s="161"/>
      <c r="B1080" s="165"/>
      <c r="C1080" s="934"/>
      <c r="D1080" s="934"/>
      <c r="E1080" s="984"/>
      <c r="F1080" s="985"/>
      <c r="G1080" s="984"/>
      <c r="H1080" s="157"/>
    </row>
    <row r="1081" spans="1:11" ht="15.75" customHeight="1">
      <c r="A1081" s="161"/>
      <c r="B1081" s="165"/>
      <c r="C1081" s="934"/>
      <c r="D1081" s="934"/>
      <c r="E1081" s="984"/>
      <c r="F1081" s="985"/>
      <c r="G1081" s="984"/>
      <c r="H1081" s="157"/>
    </row>
    <row r="1082" spans="1:11" ht="15.75" customHeight="1">
      <c r="A1082" s="161"/>
      <c r="B1082" s="165"/>
      <c r="C1082" s="934"/>
      <c r="D1082" s="934"/>
      <c r="E1082" s="984"/>
      <c r="F1082" s="985"/>
      <c r="G1082" s="984"/>
      <c r="H1082" s="157"/>
    </row>
    <row r="1083" spans="1:11" ht="15.75" customHeight="1">
      <c r="A1083" s="161"/>
      <c r="B1083" s="165"/>
      <c r="C1083" s="934"/>
      <c r="D1083" s="934"/>
      <c r="E1083" s="984"/>
      <c r="F1083" s="985"/>
      <c r="G1083" s="984"/>
      <c r="H1083" s="157"/>
    </row>
    <row r="1084" spans="1:11" ht="15.75" customHeight="1">
      <c r="A1084" s="161"/>
      <c r="B1084" s="165"/>
      <c r="C1084" s="934"/>
      <c r="D1084" s="934"/>
      <c r="E1084" s="984"/>
      <c r="F1084" s="985"/>
      <c r="G1084" s="984"/>
      <c r="H1084" s="157"/>
    </row>
    <row r="1085" spans="1:11" ht="15.75" customHeight="1">
      <c r="A1085" s="161"/>
      <c r="B1085" s="165"/>
      <c r="C1085" s="934"/>
      <c r="D1085" s="934"/>
      <c r="E1085" s="984"/>
      <c r="F1085" s="985"/>
      <c r="G1085" s="984"/>
      <c r="H1085" s="157"/>
    </row>
    <row r="1086" spans="1:11" ht="15.75" customHeight="1">
      <c r="A1086" s="161"/>
      <c r="B1086" s="165"/>
      <c r="C1086" s="934"/>
      <c r="D1086" s="934"/>
      <c r="E1086" s="984"/>
      <c r="F1086" s="985"/>
      <c r="G1086" s="984"/>
      <c r="H1086" s="157"/>
    </row>
    <row r="1087" spans="1:11" ht="15.75" customHeight="1">
      <c r="A1087" s="161"/>
      <c r="B1087" s="165"/>
      <c r="C1087" s="934"/>
      <c r="D1087" s="934"/>
      <c r="E1087" s="984"/>
      <c r="F1087" s="985"/>
      <c r="G1087" s="984"/>
      <c r="H1087" s="157"/>
    </row>
    <row r="1088" spans="1:11"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 customHeight="1">
      <c r="A1090" s="161"/>
      <c r="B1090" s="165"/>
      <c r="C1090" s="934"/>
      <c r="D1090" s="934"/>
      <c r="E1090" s="984"/>
      <c r="F1090" s="985"/>
      <c r="G1090" s="984"/>
    </row>
    <row r="1091" spans="1:8" ht="15" customHeight="1">
      <c r="A1091" s="161"/>
      <c r="B1091" s="165"/>
      <c r="C1091" s="934"/>
      <c r="D1091" s="934"/>
      <c r="E1091" s="984"/>
      <c r="F1091" s="985"/>
      <c r="G1091" s="984"/>
    </row>
    <row r="1092" spans="1:8" ht="15" customHeight="1">
      <c r="A1092" s="943"/>
      <c r="B1092" s="934"/>
      <c r="C1092" s="934"/>
      <c r="D1092" s="934"/>
      <c r="E1092" s="984"/>
      <c r="F1092" s="985"/>
      <c r="G1092" s="984"/>
    </row>
    <row r="1093" spans="1:8" ht="15" customHeight="1">
      <c r="A1093" s="161"/>
      <c r="B1093" s="165"/>
      <c r="C1093" s="934"/>
      <c r="D1093" s="934"/>
      <c r="E1093" s="984"/>
      <c r="F1093" s="985"/>
      <c r="G1093" s="984"/>
    </row>
    <row r="1094" spans="1:8" ht="15" customHeight="1">
      <c r="A1094" s="161"/>
      <c r="B1094" s="165"/>
      <c r="C1094" s="934"/>
      <c r="D1094" s="934"/>
      <c r="E1094" s="984"/>
      <c r="F1094" s="985"/>
      <c r="G1094" s="984"/>
    </row>
    <row r="1095" spans="1:8" ht="15" customHeight="1">
      <c r="A1095" s="161"/>
      <c r="B1095" s="165"/>
      <c r="C1095" s="934"/>
      <c r="D1095" s="934"/>
      <c r="E1095" s="984"/>
      <c r="F1095" s="985"/>
      <c r="G1095" s="984"/>
    </row>
    <row r="1096" spans="1:8" ht="15" customHeight="1">
      <c r="A1096" s="161"/>
      <c r="B1096" s="165"/>
      <c r="C1096" s="934"/>
      <c r="D1096" s="934"/>
      <c r="E1096" s="984"/>
      <c r="F1096" s="985"/>
      <c r="G1096" s="984"/>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161"/>
      <c r="B1100" s="165"/>
      <c r="C1100" s="934"/>
      <c r="D1100" s="934"/>
      <c r="E1100" s="984"/>
      <c r="F1100" s="985"/>
      <c r="G1100" s="984"/>
    </row>
    <row r="1101" spans="1:8" ht="15" customHeight="1">
      <c r="A1101" s="161"/>
      <c r="B1101" s="165"/>
      <c r="C1101" s="934"/>
      <c r="D1101" s="934"/>
      <c r="E1101" s="984"/>
      <c r="F1101" s="985"/>
      <c r="G1101" s="984"/>
    </row>
    <row r="1102" spans="1:8" ht="15" customHeight="1">
      <c r="A1102" s="942"/>
      <c r="B1102" s="165"/>
      <c r="C1102" s="934"/>
      <c r="D1102" s="934"/>
      <c r="E1102" s="984"/>
      <c r="F1102" s="985"/>
      <c r="G1102" s="984"/>
    </row>
  </sheetData>
  <autoFilter ref="A1:G905"/>
  <dataValidations count="3">
    <dataValidation type="list" allowBlank="1" showErrorMessage="1" sqref="D1">
      <formula1>$K$1:$K$155</formula1>
    </dataValidation>
    <dataValidation type="list" allowBlank="1" showErrorMessage="1" sqref="C2:C1102">
      <formula1>$I$1:$I$11</formula1>
    </dataValidation>
    <dataValidation type="list" allowBlank="1" showInputMessage="1" showErrorMessage="1" sqref="D2:D1196">
      <formula1>$K$3:$K$155</formula1>
    </dataValidation>
  </dataValidations>
  <hyperlinks>
    <hyperlink ref="A524" r:id="rId1"/>
    <hyperlink ref="A513" r:id="rId2"/>
    <hyperlink ref="A522" r:id="rId3"/>
    <hyperlink ref="A552" r:id="rId4"/>
    <hyperlink ref="A544" r:id="rId5"/>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55"/>
  <sheetViews>
    <sheetView topLeftCell="A439" zoomScale="80" zoomScaleNormal="80" workbookViewId="0">
      <selection activeCell="H448" sqref="H448"/>
    </sheetView>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29" t="s">
        <v>265</v>
      </c>
      <c r="B1" s="1229" t="s">
        <v>266</v>
      </c>
      <c r="C1" s="1230" t="s">
        <v>267</v>
      </c>
      <c r="D1" s="1230" t="s">
        <v>268</v>
      </c>
      <c r="E1" s="1230" t="s">
        <v>269</v>
      </c>
      <c r="F1" s="1229" t="s">
        <v>270</v>
      </c>
      <c r="G1" s="1229" t="s">
        <v>271</v>
      </c>
      <c r="H1" s="1229" t="s">
        <v>272</v>
      </c>
      <c r="I1" s="1230" t="s">
        <v>3418</v>
      </c>
      <c r="J1" s="1230" t="s">
        <v>3419</v>
      </c>
      <c r="K1" s="1230" t="s">
        <v>3420</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430" t="s">
        <v>2198</v>
      </c>
      <c r="B2" s="1433">
        <v>10</v>
      </c>
      <c r="C2" s="1431"/>
      <c r="D2" s="1431"/>
      <c r="E2" s="1431"/>
      <c r="F2" s="1430" t="s">
        <v>1</v>
      </c>
      <c r="G2" s="1430" t="s">
        <v>2200</v>
      </c>
      <c r="H2" s="1431"/>
      <c r="I2" s="1432">
        <v>32869</v>
      </c>
      <c r="J2" s="1432">
        <v>0</v>
      </c>
      <c r="K2" s="1432">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430" t="s">
        <v>2201</v>
      </c>
      <c r="B3" s="1433">
        <v>20</v>
      </c>
      <c r="C3" s="1431"/>
      <c r="D3" s="1431"/>
      <c r="E3" s="1431"/>
      <c r="F3" s="1430" t="s">
        <v>1</v>
      </c>
      <c r="G3" s="1430" t="s">
        <v>2200</v>
      </c>
      <c r="H3" s="1431"/>
      <c r="I3" s="1432">
        <v>112899</v>
      </c>
      <c r="J3" s="1432">
        <v>0</v>
      </c>
      <c r="K3" s="1432">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430" t="s">
        <v>2203</v>
      </c>
      <c r="B4" s="1433">
        <v>30</v>
      </c>
      <c r="C4" s="1431"/>
      <c r="D4" s="1431"/>
      <c r="E4" s="1431"/>
      <c r="F4" s="1430" t="s">
        <v>1</v>
      </c>
      <c r="G4" s="1430" t="s">
        <v>2200</v>
      </c>
      <c r="H4" s="1431"/>
      <c r="I4" s="1432">
        <v>227808</v>
      </c>
      <c r="J4" s="1432">
        <v>0</v>
      </c>
      <c r="K4" s="1432">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430" t="s">
        <v>2205</v>
      </c>
      <c r="B5" s="1433">
        <v>40</v>
      </c>
      <c r="C5" s="1431"/>
      <c r="D5" s="1431"/>
      <c r="E5" s="1431"/>
      <c r="F5" s="1430" t="s">
        <v>1</v>
      </c>
      <c r="G5" s="1430" t="s">
        <v>2200</v>
      </c>
      <c r="H5" s="1431"/>
      <c r="I5" s="1432">
        <v>187231.25</v>
      </c>
      <c r="J5" s="1432">
        <v>0</v>
      </c>
      <c r="K5" s="1432">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430" t="s">
        <v>2207</v>
      </c>
      <c r="B6" s="1433">
        <v>50</v>
      </c>
      <c r="C6" s="1431"/>
      <c r="D6" s="1431"/>
      <c r="E6" s="1431"/>
      <c r="F6" s="1430" t="s">
        <v>1</v>
      </c>
      <c r="G6" s="1430" t="s">
        <v>2200</v>
      </c>
      <c r="H6" s="1431"/>
      <c r="I6" s="1432">
        <v>281299</v>
      </c>
      <c r="J6" s="1432">
        <v>0</v>
      </c>
      <c r="K6" s="1432">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430" t="s">
        <v>2209</v>
      </c>
      <c r="B7" s="1433">
        <v>60</v>
      </c>
      <c r="C7" s="1431"/>
      <c r="D7" s="1431"/>
      <c r="E7" s="1431"/>
      <c r="F7" s="1430" t="s">
        <v>1</v>
      </c>
      <c r="G7" s="1430" t="s">
        <v>2200</v>
      </c>
      <c r="H7" s="1431"/>
      <c r="I7" s="1432">
        <v>165432</v>
      </c>
      <c r="J7" s="1432">
        <v>0</v>
      </c>
      <c r="K7" s="1432">
        <v>165432</v>
      </c>
      <c r="L7" s="150">
        <f t="shared" si="0"/>
        <v>60</v>
      </c>
      <c r="M7" s="151" t="str">
        <f t="shared" si="1"/>
        <v>PROFIT/PERTES JUIN</v>
      </c>
      <c r="N7" s="152">
        <f>+IF(OR($Q7=Parametres!$G$2,$Q7=Parametres!$G$3),I7,C7)</f>
        <v>165432</v>
      </c>
      <c r="O7" s="569">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430" t="s">
        <v>2211</v>
      </c>
      <c r="B8" s="1433">
        <v>70</v>
      </c>
      <c r="C8" s="1431"/>
      <c r="D8" s="1431"/>
      <c r="E8" s="1431"/>
      <c r="F8" s="1430" t="s">
        <v>1</v>
      </c>
      <c r="G8" s="1430" t="s">
        <v>2200</v>
      </c>
      <c r="H8" s="1431"/>
      <c r="I8" s="1432">
        <v>161351</v>
      </c>
      <c r="J8" s="1432">
        <v>0</v>
      </c>
      <c r="K8" s="1432">
        <v>161351</v>
      </c>
      <c r="L8" s="150">
        <f t="shared" si="0"/>
        <v>70</v>
      </c>
      <c r="M8" s="151" t="str">
        <f t="shared" si="1"/>
        <v>PROFIT/PERTES JUILLET</v>
      </c>
      <c r="N8" s="152">
        <f>+IF(OR($Q8=Parametres!$G$2,$Q8=Parametres!$G$3),I8,C8)</f>
        <v>161351</v>
      </c>
      <c r="O8" s="569">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430" t="s">
        <v>2213</v>
      </c>
      <c r="B9" s="1433">
        <v>80</v>
      </c>
      <c r="C9" s="1431"/>
      <c r="D9" s="1431"/>
      <c r="E9" s="1431"/>
      <c r="F9" s="1430" t="s">
        <v>1</v>
      </c>
      <c r="G9" s="1430" t="s">
        <v>2200</v>
      </c>
      <c r="H9" s="1431"/>
      <c r="I9" s="1432">
        <v>204620</v>
      </c>
      <c r="J9" s="1432">
        <v>0</v>
      </c>
      <c r="K9" s="1432">
        <v>204620</v>
      </c>
      <c r="L9" s="150">
        <f t="shared" si="0"/>
        <v>80</v>
      </c>
      <c r="M9" s="151" t="str">
        <f t="shared" si="1"/>
        <v>PROFIT/PERTES AOUT</v>
      </c>
      <c r="N9" s="152">
        <f>+IF(OR($Q9=Parametres!$G$2,$Q9=Parametres!$G$3),I9,C9)</f>
        <v>204620</v>
      </c>
      <c r="O9" s="569">
        <f>+IF(OR($Q9=Parametres!$G$2,$Q9=Parametres!$G$3),J9,D9)</f>
        <v>0</v>
      </c>
      <c r="P9" s="152">
        <f>+IF(OR($Q9=Parametres!$G$2,$Q9=Parametres!$G$3),K9,E9)</f>
        <v>204620</v>
      </c>
      <c r="Q9" s="151" t="str">
        <f t="shared" si="2"/>
        <v>1-Mémo</v>
      </c>
      <c r="R9" s="150" t="str">
        <f t="shared" si="2"/>
        <v>1</v>
      </c>
      <c r="S9" s="151">
        <f t="shared" si="2"/>
        <v>0</v>
      </c>
      <c r="T9" s="153">
        <f>+VLOOKUP($L9,Data_Validation!$A:$D,1,0)</f>
        <v>80</v>
      </c>
      <c r="U9" s="153">
        <f>+VLOOKUP($L9,Data_Validation!$A:$D,3,0)</f>
        <v>0</v>
      </c>
      <c r="V9" s="153">
        <f>+VLOOKUP($L9,Data_Validation!$A:$D,4,0)</f>
        <v>0</v>
      </c>
      <c r="W9" s="153">
        <f>+VLOOKUP($L9,Data_Validation!$A:$E,5,0)</f>
        <v>0</v>
      </c>
      <c r="X9" s="153">
        <f>+VLOOKUP($L9,Data_Validation!$A:$F,6,0)</f>
        <v>0</v>
      </c>
    </row>
    <row r="10" spans="1:24" ht="15" customHeight="1">
      <c r="A10" s="1430" t="s">
        <v>2215</v>
      </c>
      <c r="B10" s="1433">
        <v>90</v>
      </c>
      <c r="C10" s="1431"/>
      <c r="D10" s="1431"/>
      <c r="E10" s="1431"/>
      <c r="F10" s="1430" t="s">
        <v>1</v>
      </c>
      <c r="G10" s="1430" t="s">
        <v>2200</v>
      </c>
      <c r="H10" s="1431"/>
      <c r="I10" s="1432">
        <v>239854</v>
      </c>
      <c r="J10" s="1432">
        <v>0</v>
      </c>
      <c r="K10" s="1432">
        <v>239854</v>
      </c>
      <c r="L10" s="150">
        <f t="shared" si="0"/>
        <v>90</v>
      </c>
      <c r="M10" s="151" t="str">
        <f t="shared" si="1"/>
        <v>PROFIT/PERTES SEPTEMBRE</v>
      </c>
      <c r="N10" s="152">
        <f>+IF(OR($Q10=Parametres!$G$2,$Q10=Parametres!$G$3),I10,C10)</f>
        <v>239854</v>
      </c>
      <c r="O10" s="570">
        <f>+IF(OR($Q10=Parametres!$G$2,$Q10=Parametres!$G$3),J10,D10)</f>
        <v>0</v>
      </c>
      <c r="P10" s="152">
        <f>+IF(OR($Q10=Parametres!$G$2,$Q10=Parametres!$G$3),K10,E10)</f>
        <v>239854</v>
      </c>
      <c r="Q10" s="151" t="str">
        <f t="shared" si="2"/>
        <v>1-Mémo</v>
      </c>
      <c r="R10" s="150" t="str">
        <f t="shared" si="2"/>
        <v>1</v>
      </c>
      <c r="S10" s="151">
        <f t="shared" si="2"/>
        <v>0</v>
      </c>
      <c r="T10" s="153">
        <f>+VLOOKUP($L10,Data_Validation!$A:$D,1,0)</f>
        <v>90</v>
      </c>
      <c r="U10" s="153">
        <f>+VLOOKUP($L10,Data_Validation!$A:$D,3,0)</f>
        <v>0</v>
      </c>
      <c r="V10" s="153">
        <f>+VLOOKUP($L10,Data_Validation!$A:$D,4,0)</f>
        <v>0</v>
      </c>
      <c r="W10" s="153">
        <f>+VLOOKUP($L10,Data_Validation!$A:$E,5,0)</f>
        <v>0</v>
      </c>
      <c r="X10" s="153">
        <f>+VLOOKUP($L10,Data_Validation!$A:$F,6,0)</f>
        <v>0</v>
      </c>
    </row>
    <row r="11" spans="1:24" ht="15" customHeight="1">
      <c r="A11" s="1430" t="s">
        <v>2217</v>
      </c>
      <c r="B11" s="1433">
        <v>100</v>
      </c>
      <c r="C11" s="1431"/>
      <c r="D11" s="1431"/>
      <c r="E11" s="1431"/>
      <c r="F11" s="1430" t="s">
        <v>1</v>
      </c>
      <c r="G11" s="1430" t="s">
        <v>2200</v>
      </c>
      <c r="H11" s="1431"/>
      <c r="I11" s="1432">
        <v>0</v>
      </c>
      <c r="J11" s="1432">
        <v>204198</v>
      </c>
      <c r="K11" s="1432">
        <v>204198</v>
      </c>
      <c r="L11" s="150">
        <f t="shared" si="0"/>
        <v>100</v>
      </c>
      <c r="M11" s="151" t="str">
        <f t="shared" si="1"/>
        <v>PROFIT/PERTES OCTOBRE</v>
      </c>
      <c r="N11" s="152">
        <f>+IF(OR($Q11=Parametres!$G$2,$Q11=Parametres!$G$3),I11,C11)</f>
        <v>0</v>
      </c>
      <c r="O11" s="152">
        <f>+IF(OR($Q11=Parametres!$G$2,$Q11=Parametres!$G$3),J11,D11)</f>
        <v>204198</v>
      </c>
      <c r="P11" s="152">
        <f>+IF(OR($Q11=Parametres!$G$2,$Q11=Parametres!$G$3),K11,E11)</f>
        <v>204198</v>
      </c>
      <c r="Q11" s="151" t="str">
        <f t="shared" si="2"/>
        <v>1-Mémo</v>
      </c>
      <c r="R11" s="150" t="str">
        <f t="shared" si="2"/>
        <v>1</v>
      </c>
      <c r="S11" s="151">
        <f t="shared" si="2"/>
        <v>0</v>
      </c>
      <c r="T11" s="153">
        <f>+VLOOKUP($L11,Data_Validation!$A:$D,1,0)</f>
        <v>100</v>
      </c>
      <c r="U11" s="153">
        <f>+VLOOKUP($L11,Data_Validation!$A:$D,3,0)</f>
        <v>0</v>
      </c>
      <c r="V11" s="153">
        <f>+VLOOKUP($L11,Data_Validation!$A:$D,4,0)</f>
        <v>0</v>
      </c>
      <c r="W11" s="153">
        <f>+VLOOKUP($L11,Data_Validation!$A:$E,5,0)</f>
        <v>0</v>
      </c>
      <c r="X11" s="153">
        <f>+VLOOKUP($L11,Data_Validation!$A:$F,6,0)</f>
        <v>0</v>
      </c>
    </row>
    <row r="12" spans="1:24" ht="15" customHeight="1">
      <c r="A12" s="1430" t="s">
        <v>2221</v>
      </c>
      <c r="B12" s="1433">
        <v>229</v>
      </c>
      <c r="C12" s="1431"/>
      <c r="D12" s="1431"/>
      <c r="E12" s="1431"/>
      <c r="F12" s="1430" t="s">
        <v>1</v>
      </c>
      <c r="G12" s="1430" t="s">
        <v>2223</v>
      </c>
      <c r="H12" s="1431"/>
      <c r="I12" s="1432">
        <v>5.43</v>
      </c>
      <c r="J12" s="1432">
        <v>0.6</v>
      </c>
      <c r="K12" s="1432">
        <v>6.03</v>
      </c>
      <c r="L12" s="150">
        <f t="shared" si="0"/>
        <v>229</v>
      </c>
      <c r="M12" s="151" t="str">
        <f t="shared" si="1"/>
        <v>CUMUL. VIS. CARR. VW</v>
      </c>
      <c r="N12" s="152">
        <f>+IF(OR($Q12=Parametres!$G$2,$Q12=Parametres!$G$3),I12,C12)</f>
        <v>5.43</v>
      </c>
      <c r="O12" s="152">
        <f>+IF(OR($Q12=Parametres!$G$2,$Q12=Parametres!$G$3),J12,D12)</f>
        <v>0.6</v>
      </c>
      <c r="P12" s="152">
        <f>+IF(OR($Q12=Parametres!$G$2,$Q12=Parametres!$G$3),K12,E12)</f>
        <v>6.03</v>
      </c>
      <c r="Q12" s="151" t="str">
        <f t="shared" si="2"/>
        <v>1-Mémo</v>
      </c>
      <c r="R12" s="150" t="str">
        <f t="shared" si="2"/>
        <v>23</v>
      </c>
      <c r="S12" s="151">
        <f t="shared" si="2"/>
        <v>0</v>
      </c>
      <c r="T12" s="153">
        <f>+VLOOKUP($L12,Data_Validation!$A:$D,1,0)</f>
        <v>229</v>
      </c>
      <c r="U12" s="153">
        <f>+VLOOKUP($L12,Data_Validation!$A:$D,3,0)</f>
        <v>0</v>
      </c>
      <c r="V12" s="153">
        <f>+VLOOKUP($L12,Data_Validation!$A:$D,4,0)</f>
        <v>0</v>
      </c>
      <c r="W12" s="153">
        <f>+VLOOKUP($L12,Data_Validation!$A:$E,5,0)</f>
        <v>0</v>
      </c>
      <c r="X12" s="153">
        <f>+VLOOKUP($L12,Data_Validation!$A:$F,6,0)</f>
        <v>0</v>
      </c>
    </row>
    <row r="13" spans="1:24" ht="15" customHeight="1">
      <c r="A13" s="1430" t="s">
        <v>2224</v>
      </c>
      <c r="B13" s="1433">
        <v>230</v>
      </c>
      <c r="C13" s="1431"/>
      <c r="D13" s="1431"/>
      <c r="E13" s="1431"/>
      <c r="F13" s="1430" t="s">
        <v>1</v>
      </c>
      <c r="G13" s="1430" t="s">
        <v>2223</v>
      </c>
      <c r="H13" s="1431"/>
      <c r="I13" s="1432">
        <v>85.1</v>
      </c>
      <c r="J13" s="1432">
        <v>11.11</v>
      </c>
      <c r="K13" s="1432">
        <v>96.21</v>
      </c>
      <c r="L13" s="150">
        <f t="shared" si="0"/>
        <v>230</v>
      </c>
      <c r="M13" s="151" t="str">
        <f t="shared" si="1"/>
        <v>CUMUL. VIS. VEH. SERV. VW</v>
      </c>
      <c r="N13" s="152">
        <f>+IF(OR($Q13=Parametres!$G$2,$Q13=Parametres!$G$3),I13,C13)</f>
        <v>85.1</v>
      </c>
      <c r="O13" s="569">
        <f>+IF(OR($Q13=Parametres!$G$2,$Q13=Parametres!$G$3),J13,D13)</f>
        <v>11.11</v>
      </c>
      <c r="P13" s="152">
        <f>+IF(OR($Q13=Parametres!$G$2,$Q13=Parametres!$G$3),K13,E13)</f>
        <v>96.21</v>
      </c>
      <c r="Q13" s="151" t="str">
        <f t="shared" si="2"/>
        <v>1-Mémo</v>
      </c>
      <c r="R13" s="150" t="str">
        <f t="shared" si="2"/>
        <v>23</v>
      </c>
      <c r="S13" s="151">
        <f t="shared" si="2"/>
        <v>0</v>
      </c>
      <c r="T13" s="153">
        <f>+VLOOKUP($L13,Data_Validation!$A:$D,1,0)</f>
        <v>230</v>
      </c>
      <c r="U13" s="153">
        <f>+VLOOKUP($L13,Data_Validation!$A:$D,3,0)</f>
        <v>0</v>
      </c>
      <c r="V13" s="153">
        <f>+VLOOKUP($L13,Data_Validation!$A:$D,4,0)</f>
        <v>0</v>
      </c>
      <c r="W13" s="153" t="str">
        <f>+VLOOKUP($L13,Data_Validation!$A:$E,5,0)</f>
        <v>$</v>
      </c>
      <c r="X13" s="153">
        <f>+VLOOKUP($L13,Data_Validation!$A:$F,6,0)</f>
        <v>0</v>
      </c>
    </row>
    <row r="14" spans="1:24" ht="15" customHeight="1">
      <c r="A14" s="1430" t="s">
        <v>2226</v>
      </c>
      <c r="B14" s="1433">
        <v>234</v>
      </c>
      <c r="C14" s="1431"/>
      <c r="D14" s="1431"/>
      <c r="E14" s="1431"/>
      <c r="F14" s="1430" t="s">
        <v>1</v>
      </c>
      <c r="G14" s="1430" t="s">
        <v>2223</v>
      </c>
      <c r="H14" s="1431"/>
      <c r="I14" s="1432">
        <v>138.83000000000001</v>
      </c>
      <c r="J14" s="1432">
        <v>16.93</v>
      </c>
      <c r="K14" s="1432">
        <v>155.76</v>
      </c>
      <c r="L14" s="150">
        <f t="shared" si="0"/>
        <v>234</v>
      </c>
      <c r="M14" s="151" t="str">
        <f t="shared" si="1"/>
        <v>TOTAL HRES PROD. SERVICE</v>
      </c>
      <c r="N14" s="152">
        <f>+IF(OR($Q14=Parametres!$G$2,$Q14=Parametres!$G$3),I14,C14)</f>
        <v>138.83000000000001</v>
      </c>
      <c r="O14" s="569">
        <f>+IF(OR($Q14=Parametres!$G$2,$Q14=Parametres!$G$3),J14,D14)</f>
        <v>16.93</v>
      </c>
      <c r="P14" s="152">
        <f>+IF(OR($Q14=Parametres!$G$2,$Q14=Parametres!$G$3),K14,E14)</f>
        <v>155.76</v>
      </c>
      <c r="Q14" s="151" t="str">
        <f t="shared" si="2"/>
        <v>1-Mémo</v>
      </c>
      <c r="R14" s="150" t="str">
        <f t="shared" si="2"/>
        <v>23</v>
      </c>
      <c r="S14" s="151">
        <f t="shared" si="2"/>
        <v>0</v>
      </c>
      <c r="T14" s="153">
        <f>+VLOOKUP($L14,Data_Validation!$A:$D,1,0)</f>
        <v>234</v>
      </c>
      <c r="U14" s="153">
        <f>+VLOOKUP($L14,Data_Validation!$A:$D,3,0)</f>
        <v>0</v>
      </c>
      <c r="V14" s="153">
        <f>+VLOOKUP($L14,Data_Validation!$A:$D,4,0)</f>
        <v>0</v>
      </c>
      <c r="W14" s="153">
        <f>+VLOOKUP($L14,Data_Validation!$A:$E,5,0)</f>
        <v>0</v>
      </c>
      <c r="X14" s="153">
        <f>+VLOOKUP($L14,Data_Validation!$A:$F,6,0)</f>
        <v>0</v>
      </c>
    </row>
    <row r="15" spans="1:24" ht="15" customHeight="1">
      <c r="A15" s="1430" t="s">
        <v>2228</v>
      </c>
      <c r="B15" s="1433">
        <v>236</v>
      </c>
      <c r="C15" s="1431"/>
      <c r="D15" s="1431"/>
      <c r="E15" s="1431"/>
      <c r="F15" s="1430" t="s">
        <v>1</v>
      </c>
      <c r="G15" s="1430" t="s">
        <v>2223</v>
      </c>
      <c r="H15" s="1431"/>
      <c r="I15" s="1432">
        <v>140.68</v>
      </c>
      <c r="J15" s="1432">
        <v>16.829999999999998</v>
      </c>
      <c r="K15" s="1432">
        <v>157.51</v>
      </c>
      <c r="L15" s="150">
        <f t="shared" si="0"/>
        <v>236</v>
      </c>
      <c r="M15" s="151" t="str">
        <f t="shared" si="1"/>
        <v>HEURES VENDU VW - SERVICE</v>
      </c>
      <c r="N15" s="152">
        <f>+IF(OR($Q15=Parametres!$G$2,$Q15=Parametres!$G$3),I15,C15)</f>
        <v>140.68</v>
      </c>
      <c r="O15" s="569">
        <f>+IF(OR($Q15=Parametres!$G$2,$Q15=Parametres!$G$3),J15,D15)</f>
        <v>16.829999999999998</v>
      </c>
      <c r="P15" s="152">
        <f>+IF(OR($Q15=Parametres!$G$2,$Q15=Parametres!$G$3),K15,E15)</f>
        <v>157.51</v>
      </c>
      <c r="Q15" s="151" t="str">
        <f t="shared" si="2"/>
        <v>1-Mémo</v>
      </c>
      <c r="R15" s="150" t="str">
        <f t="shared" si="2"/>
        <v>23</v>
      </c>
      <c r="S15" s="151">
        <f t="shared" si="2"/>
        <v>0</v>
      </c>
      <c r="T15" s="153">
        <f>+VLOOKUP($L15,Data_Validation!$A:$D,1,0)</f>
        <v>236</v>
      </c>
      <c r="U15" s="153">
        <f>+VLOOKUP($L15,Data_Validation!$A:$D,3,0)</f>
        <v>0</v>
      </c>
      <c r="V15" s="153">
        <f>+VLOOKUP($L15,Data_Validation!$A:$D,4,0)</f>
        <v>0</v>
      </c>
      <c r="W15" s="153">
        <f>+VLOOKUP($L15,Data_Validation!$A:$E,5,0)</f>
        <v>0</v>
      </c>
      <c r="X15" s="153">
        <f>+VLOOKUP($L15,Data_Validation!$A:$F,6,0)</f>
        <v>0</v>
      </c>
    </row>
    <row r="16" spans="1:24" ht="15" customHeight="1">
      <c r="A16" s="1430" t="s">
        <v>2230</v>
      </c>
      <c r="B16" s="1433">
        <v>238</v>
      </c>
      <c r="C16" s="1431"/>
      <c r="D16" s="1431"/>
      <c r="E16" s="1431"/>
      <c r="F16" s="1430" t="s">
        <v>1</v>
      </c>
      <c r="G16" s="1430" t="s">
        <v>2223</v>
      </c>
      <c r="H16" s="1431"/>
      <c r="I16" s="1432">
        <v>147.91</v>
      </c>
      <c r="J16" s="1432">
        <v>17.13</v>
      </c>
      <c r="K16" s="1432">
        <v>165.04</v>
      </c>
      <c r="L16" s="150">
        <f t="shared" si="0"/>
        <v>238</v>
      </c>
      <c r="M16" s="151" t="str">
        <f t="shared" si="1"/>
        <v>TOT. HEURES DISP. SERVICE</v>
      </c>
      <c r="N16" s="152">
        <f>+IF(OR($Q16=Parametres!$G$2,$Q16=Parametres!$G$3),I16,C16)</f>
        <v>147.91</v>
      </c>
      <c r="O16" s="569">
        <f>+IF(OR($Q16=Parametres!$G$2,$Q16=Parametres!$G$3),J16,D16)</f>
        <v>17.13</v>
      </c>
      <c r="P16" s="152">
        <f>+IF(OR($Q16=Parametres!$G$2,$Q16=Parametres!$G$3),K16,E16)</f>
        <v>165.04</v>
      </c>
      <c r="Q16" s="151" t="str">
        <f t="shared" si="2"/>
        <v>1-Mémo</v>
      </c>
      <c r="R16" s="150" t="str">
        <f t="shared" si="2"/>
        <v>23</v>
      </c>
      <c r="S16" s="151">
        <f t="shared" si="2"/>
        <v>0</v>
      </c>
      <c r="T16" s="153">
        <f>+VLOOKUP($L16,Data_Validation!$A:$D,1,0)</f>
        <v>238</v>
      </c>
      <c r="U16" s="153">
        <f>+VLOOKUP($L16,Data_Validation!$A:$D,3,0)</f>
        <v>0</v>
      </c>
      <c r="V16" s="153">
        <f>+VLOOKUP($L16,Data_Validation!$A:$D,4,0)</f>
        <v>0</v>
      </c>
      <c r="W16" s="153">
        <f>+VLOOKUP($L16,Data_Validation!$A:$E,5,0)</f>
        <v>0</v>
      </c>
      <c r="X16" s="153">
        <f>+VLOOKUP($L16,Data_Validation!$A:$F,6,0)</f>
        <v>0</v>
      </c>
    </row>
    <row r="17" spans="1:24" ht="15" customHeight="1">
      <c r="A17" s="1430" t="s">
        <v>2232</v>
      </c>
      <c r="B17" s="1433">
        <v>243</v>
      </c>
      <c r="C17" s="1431"/>
      <c r="D17" s="1431"/>
      <c r="E17" s="1431"/>
      <c r="F17" s="1430" t="s">
        <v>1</v>
      </c>
      <c r="G17" s="1430" t="s">
        <v>2234</v>
      </c>
      <c r="H17" s="1431"/>
      <c r="I17" s="1432">
        <v>134.94999999999999</v>
      </c>
      <c r="J17" s="1432">
        <v>0</v>
      </c>
      <c r="K17" s="1432">
        <v>134.94999999999999</v>
      </c>
      <c r="L17" s="150">
        <f t="shared" si="0"/>
        <v>243</v>
      </c>
      <c r="M17" s="151" t="str">
        <f t="shared" si="1"/>
        <v>TAUX M/O CLIENT VW</v>
      </c>
      <c r="N17" s="152">
        <f>+IF(OR($Q17=Parametres!$G$2,$Q17=Parametres!$G$3),I17,C17)</f>
        <v>134.94999999999999</v>
      </c>
      <c r="O17" s="569">
        <f>+IF(OR($Q17=Parametres!$G$2,$Q17=Parametres!$G$3),J17,D17)</f>
        <v>0</v>
      </c>
      <c r="P17" s="152">
        <f>+IF(OR($Q17=Parametres!$G$2,$Q17=Parametres!$G$3),K17,E17)</f>
        <v>134.94999999999999</v>
      </c>
      <c r="Q17" s="151" t="str">
        <f t="shared" si="2"/>
        <v>1-Mémo</v>
      </c>
      <c r="R17" s="150" t="str">
        <f t="shared" si="2"/>
        <v>24</v>
      </c>
      <c r="S17" s="151">
        <f t="shared" si="2"/>
        <v>0</v>
      </c>
      <c r="T17" s="153">
        <f>+VLOOKUP($L17,Data_Validation!$A:$D,1,0)</f>
        <v>243</v>
      </c>
      <c r="U17" s="153">
        <f>+VLOOKUP($L17,Data_Validation!$A:$D,3,0)</f>
        <v>0</v>
      </c>
      <c r="V17" s="153">
        <f>+VLOOKUP($L17,Data_Validation!$A:$D,4,0)</f>
        <v>0</v>
      </c>
      <c r="W17" s="153">
        <f>+VLOOKUP($L17,Data_Validation!$A:$E,5,0)</f>
        <v>0</v>
      </c>
      <c r="X17" s="153">
        <f>+VLOOKUP($L17,Data_Validation!$A:$F,6,0)</f>
        <v>0</v>
      </c>
    </row>
    <row r="18" spans="1:24" ht="15" customHeight="1">
      <c r="A18" s="1430" t="s">
        <v>2235</v>
      </c>
      <c r="B18" s="1433">
        <v>244</v>
      </c>
      <c r="C18" s="1431"/>
      <c r="D18" s="1431"/>
      <c r="E18" s="1431"/>
      <c r="F18" s="1430" t="s">
        <v>1</v>
      </c>
      <c r="G18" s="1430" t="s">
        <v>2234</v>
      </c>
      <c r="H18" s="1431"/>
      <c r="I18" s="1432">
        <v>119.44</v>
      </c>
      <c r="J18" s="1432">
        <v>0</v>
      </c>
      <c r="K18" s="1432">
        <v>119.44</v>
      </c>
      <c r="L18" s="150">
        <f t="shared" si="0"/>
        <v>244</v>
      </c>
      <c r="M18" s="151" t="str">
        <f t="shared" si="1"/>
        <v>TAUX M/O GARANTIE VW</v>
      </c>
      <c r="N18" s="152">
        <f>+IF(OR($Q18=Parametres!$G$2,$Q18=Parametres!$G$3),I18,C18)</f>
        <v>119.44</v>
      </c>
      <c r="O18" s="152">
        <f>+IF(OR($Q18=Parametres!$G$2,$Q18=Parametres!$G$3),J18,D18)</f>
        <v>0</v>
      </c>
      <c r="P18" s="152">
        <f>+IF(OR($Q18=Parametres!$G$2,$Q18=Parametres!$G$3),K18,E18)</f>
        <v>119.44</v>
      </c>
      <c r="Q18" s="151" t="str">
        <f t="shared" ref="Q18:S33" si="3">+F18</f>
        <v>1-Mémo</v>
      </c>
      <c r="R18" s="150" t="str">
        <f t="shared" si="3"/>
        <v>24</v>
      </c>
      <c r="S18" s="151">
        <f t="shared" si="3"/>
        <v>0</v>
      </c>
      <c r="T18" s="153">
        <f>+VLOOKUP($L18,Data_Validation!$A:$D,1,0)</f>
        <v>244</v>
      </c>
      <c r="U18" s="153">
        <f>+VLOOKUP($L18,Data_Validation!$A:$D,3,0)</f>
        <v>0</v>
      </c>
      <c r="V18" s="153">
        <f>+VLOOKUP($L18,Data_Validation!$A:$D,4,0)</f>
        <v>0</v>
      </c>
      <c r="W18" s="153">
        <f>+VLOOKUP($L18,Data_Validation!$A:$E,5,0)</f>
        <v>0</v>
      </c>
      <c r="X18" s="153">
        <f>+VLOOKUP($L18,Data_Validation!$A:$F,6,0)</f>
        <v>0</v>
      </c>
    </row>
    <row r="19" spans="1:24" ht="15" customHeight="1">
      <c r="A19" s="1430" t="s">
        <v>2237</v>
      </c>
      <c r="B19" s="1433">
        <v>245</v>
      </c>
      <c r="C19" s="1431"/>
      <c r="D19" s="1431"/>
      <c r="E19" s="1431"/>
      <c r="F19" s="1430" t="s">
        <v>1</v>
      </c>
      <c r="G19" s="1430" t="s">
        <v>2234</v>
      </c>
      <c r="H19" s="1431"/>
      <c r="I19" s="1432">
        <v>134.94999999999999</v>
      </c>
      <c r="J19" s="1432">
        <v>0</v>
      </c>
      <c r="K19" s="1432">
        <v>134.94999999999999</v>
      </c>
      <c r="L19" s="150">
        <f t="shared" si="0"/>
        <v>245</v>
      </c>
      <c r="M19" s="151" t="str">
        <f t="shared" si="1"/>
        <v>TAUX M/O INTERNE VW</v>
      </c>
      <c r="N19" s="152">
        <f>+IF(OR($Q19=Parametres!$G$2,$Q19=Parametres!$G$3),I19,C19)</f>
        <v>134.94999999999999</v>
      </c>
      <c r="O19" s="569">
        <f>+IF(OR($Q19=Parametres!$G$2,$Q19=Parametres!$G$3),J19,D19)</f>
        <v>0</v>
      </c>
      <c r="P19" s="152">
        <f>+IF(OR($Q19=Parametres!$G$2,$Q19=Parametres!$G$3),K19,E19)</f>
        <v>134.94999999999999</v>
      </c>
      <c r="Q19" s="151" t="str">
        <f t="shared" si="3"/>
        <v>1-Mémo</v>
      </c>
      <c r="R19" s="150" t="str">
        <f t="shared" si="3"/>
        <v>24</v>
      </c>
      <c r="S19" s="151">
        <f t="shared" si="3"/>
        <v>0</v>
      </c>
      <c r="T19" s="153">
        <f>+VLOOKUP($L19,Data_Validation!$A:$D,1,0)</f>
        <v>245</v>
      </c>
      <c r="U19" s="153">
        <f>+VLOOKUP($L19,Data_Validation!$A:$D,3,0)</f>
        <v>0</v>
      </c>
      <c r="V19" s="153">
        <f>+VLOOKUP($L19,Data_Validation!$A:$D,4,0)</f>
        <v>0</v>
      </c>
      <c r="W19" s="153">
        <f>+VLOOKUP($L19,Data_Validation!$A:$E,5,0)</f>
        <v>0</v>
      </c>
      <c r="X19" s="153">
        <f>+VLOOKUP($L19,Data_Validation!$A:$F,6,0)</f>
        <v>0</v>
      </c>
    </row>
    <row r="20" spans="1:24" ht="15" customHeight="1">
      <c r="A20" s="1430" t="s">
        <v>2239</v>
      </c>
      <c r="B20" s="1433">
        <v>246</v>
      </c>
      <c r="C20" s="1431"/>
      <c r="D20" s="1431"/>
      <c r="E20" s="1431"/>
      <c r="F20" s="1430" t="s">
        <v>1</v>
      </c>
      <c r="G20" s="1430" t="s">
        <v>2234</v>
      </c>
      <c r="H20" s="1431"/>
      <c r="I20" s="1432">
        <v>60</v>
      </c>
      <c r="J20" s="1432">
        <v>0</v>
      </c>
      <c r="K20" s="1432">
        <v>60</v>
      </c>
      <c r="L20" s="150">
        <f t="shared" si="0"/>
        <v>246</v>
      </c>
      <c r="M20" s="151" t="str">
        <f t="shared" si="1"/>
        <v>TAUX M/O CARR. VW</v>
      </c>
      <c r="N20" s="152">
        <f>+IF(OR($Q20=Parametres!$G$2,$Q20=Parametres!$G$3),I20,C20)</f>
        <v>60</v>
      </c>
      <c r="O20" s="569">
        <f>+IF(OR($Q20=Parametres!$G$2,$Q20=Parametres!$G$3),J20,D20)</f>
        <v>0</v>
      </c>
      <c r="P20" s="152">
        <f>+IF(OR($Q20=Parametres!$G$2,$Q20=Parametres!$G$3),K20,E20)</f>
        <v>60</v>
      </c>
      <c r="Q20" s="151" t="str">
        <f t="shared" si="3"/>
        <v>1-Mémo</v>
      </c>
      <c r="R20" s="150" t="str">
        <f t="shared" si="3"/>
        <v>24</v>
      </c>
      <c r="S20" s="151">
        <f t="shared" si="3"/>
        <v>0</v>
      </c>
      <c r="T20" s="153">
        <f>+VLOOKUP($L20,Data_Validation!$A:$D,1,0)</f>
        <v>246</v>
      </c>
      <c r="U20" s="153">
        <f>+VLOOKUP($L20,Data_Validation!$A:$D,3,0)</f>
        <v>0</v>
      </c>
      <c r="V20" s="153">
        <f>+VLOOKUP($L20,Data_Validation!$A:$D,4,0)</f>
        <v>0</v>
      </c>
      <c r="W20" s="153">
        <f>+VLOOKUP($L20,Data_Validation!$A:$E,5,0)</f>
        <v>0</v>
      </c>
      <c r="X20" s="153">
        <f>+VLOOKUP($L20,Data_Validation!$A:$F,6,0)</f>
        <v>0</v>
      </c>
    </row>
    <row r="21" spans="1:24" ht="15" customHeight="1">
      <c r="A21" s="1430" t="s">
        <v>2241</v>
      </c>
      <c r="B21" s="1433">
        <v>255</v>
      </c>
      <c r="C21" s="1431"/>
      <c r="D21" s="1431"/>
      <c r="E21" s="1431"/>
      <c r="F21" s="1430" t="s">
        <v>1</v>
      </c>
      <c r="G21" s="1430" t="s">
        <v>2242</v>
      </c>
      <c r="H21" s="1431"/>
      <c r="I21" s="1432">
        <v>0.08</v>
      </c>
      <c r="J21" s="1432">
        <v>0</v>
      </c>
      <c r="K21" s="1432">
        <v>0.08</v>
      </c>
      <c r="L21" s="150">
        <f t="shared" si="0"/>
        <v>255</v>
      </c>
      <c r="M21" s="151" t="str">
        <f t="shared" si="1"/>
        <v>BAIES TRAVAIL PRODUCTIVES - SERVICE VW</v>
      </c>
      <c r="N21" s="152">
        <f>+IF(OR($Q21=Parametres!$G$2,$Q21=Parametres!$G$3),I21,C21)</f>
        <v>0.08</v>
      </c>
      <c r="O21" s="152">
        <f>+IF(OR($Q21=Parametres!$G$2,$Q21=Parametres!$G$3),J21,D21)</f>
        <v>0</v>
      </c>
      <c r="P21" s="152">
        <f>+IF(OR($Q21=Parametres!$G$2,$Q21=Parametres!$G$3),K21,E21)</f>
        <v>0.08</v>
      </c>
      <c r="Q21" s="151" t="str">
        <f t="shared" si="3"/>
        <v>1-Mémo</v>
      </c>
      <c r="R21" s="150" t="str">
        <f t="shared" si="3"/>
        <v>255</v>
      </c>
      <c r="S21" s="151">
        <f t="shared" si="3"/>
        <v>0</v>
      </c>
      <c r="T21" s="153">
        <f>+VLOOKUP($L21,Data_Validation!$A:$D,1,0)</f>
        <v>255</v>
      </c>
      <c r="U21" s="153">
        <f>+VLOOKUP($L21,Data_Validation!$A:$D,3,0)</f>
        <v>0</v>
      </c>
      <c r="V21" s="153">
        <f>+VLOOKUP($L21,Data_Validation!$A:$D,4,0)</f>
        <v>0</v>
      </c>
      <c r="W21" s="153">
        <f>+VLOOKUP($L21,Data_Validation!$A:$E,5,0)</f>
        <v>0</v>
      </c>
      <c r="X21" s="153">
        <f>+VLOOKUP($L21,Data_Validation!$A:$F,6,0)</f>
        <v>0</v>
      </c>
    </row>
    <row r="22" spans="1:24" ht="15" customHeight="1">
      <c r="A22" s="1430" t="s">
        <v>2243</v>
      </c>
      <c r="B22" s="1433">
        <v>257</v>
      </c>
      <c r="C22" s="1431"/>
      <c r="D22" s="1431"/>
      <c r="E22" s="1431"/>
      <c r="F22" s="1430" t="s">
        <v>1</v>
      </c>
      <c r="G22" s="1430" t="s">
        <v>2244</v>
      </c>
      <c r="H22" s="1431"/>
      <c r="I22" s="1432">
        <v>5527.74</v>
      </c>
      <c r="J22" s="1432">
        <v>843.69</v>
      </c>
      <c r="K22" s="1432">
        <v>6371.43</v>
      </c>
      <c r="L22" s="150">
        <f t="shared" si="0"/>
        <v>257</v>
      </c>
      <c r="M22" s="151" t="str">
        <f t="shared" si="1"/>
        <v>HEURES VENDUES - SERVICE - CLIENT VW</v>
      </c>
      <c r="N22" s="152">
        <f>+IF(OR($Q22=Parametres!$G$2,$Q22=Parametres!$G$3),I22,C22)</f>
        <v>5527.74</v>
      </c>
      <c r="O22" s="569">
        <f>+IF(OR($Q22=Parametres!$G$2,$Q22=Parametres!$G$3),J22,D22)</f>
        <v>843.69</v>
      </c>
      <c r="P22" s="152">
        <f>+IF(OR($Q22=Parametres!$G$2,$Q22=Parametres!$G$3),K22,E22)</f>
        <v>6371.43</v>
      </c>
      <c r="Q22" s="151" t="str">
        <f t="shared" si="3"/>
        <v>1-Mémo</v>
      </c>
      <c r="R22" s="150" t="str">
        <f t="shared" si="3"/>
        <v>257</v>
      </c>
      <c r="S22" s="151">
        <f t="shared" si="3"/>
        <v>0</v>
      </c>
      <c r="T22" s="153">
        <f>+VLOOKUP($L22,Data_Validation!$A:$D,1,0)</f>
        <v>257</v>
      </c>
      <c r="U22" s="153">
        <f>+VLOOKUP($L22,Data_Validation!$A:$D,3,0)</f>
        <v>0</v>
      </c>
      <c r="V22" s="153">
        <f>+VLOOKUP($L22,Data_Validation!$A:$D,4,0)</f>
        <v>0</v>
      </c>
      <c r="W22" s="153">
        <f>+VLOOKUP($L22,Data_Validation!$A:$E,5,0)</f>
        <v>0</v>
      </c>
      <c r="X22" s="153">
        <f>+VLOOKUP($L22,Data_Validation!$A:$F,6,0)</f>
        <v>0</v>
      </c>
    </row>
    <row r="23" spans="1:24" ht="15" customHeight="1">
      <c r="A23" s="1430" t="s">
        <v>2245</v>
      </c>
      <c r="B23" s="1433">
        <v>258</v>
      </c>
      <c r="C23" s="1431"/>
      <c r="D23" s="1431"/>
      <c r="E23" s="1431"/>
      <c r="F23" s="1430" t="s">
        <v>1</v>
      </c>
      <c r="G23" s="1430" t="s">
        <v>2244</v>
      </c>
      <c r="H23" s="1431"/>
      <c r="I23" s="1432">
        <v>4102</v>
      </c>
      <c r="J23" s="1432">
        <v>357.3</v>
      </c>
      <c r="K23" s="1432">
        <v>4459.3</v>
      </c>
      <c r="L23" s="150">
        <f t="shared" si="0"/>
        <v>258</v>
      </c>
      <c r="M23" s="151" t="str">
        <f t="shared" si="1"/>
        <v>HEURES VENDUES - SERVICE - GARANTIE VW</v>
      </c>
      <c r="N23" s="152">
        <f>+IF(OR($Q23=Parametres!$G$2,$Q23=Parametres!$G$3),I23,C23)</f>
        <v>4102</v>
      </c>
      <c r="O23" s="569">
        <f>+IF(OR($Q23=Parametres!$G$2,$Q23=Parametres!$G$3),J23,D23)</f>
        <v>357.3</v>
      </c>
      <c r="P23" s="152">
        <f>+IF(OR($Q23=Parametres!$G$2,$Q23=Parametres!$G$3),K23,E23)</f>
        <v>4459.3</v>
      </c>
      <c r="Q23" s="151" t="str">
        <f t="shared" si="3"/>
        <v>1-Mémo</v>
      </c>
      <c r="R23" s="150" t="str">
        <f t="shared" si="3"/>
        <v>257</v>
      </c>
      <c r="S23" s="151">
        <f t="shared" si="3"/>
        <v>0</v>
      </c>
      <c r="T23" s="153">
        <f>+VLOOKUP($L23,Data_Validation!$A:$D,1,0)</f>
        <v>258</v>
      </c>
      <c r="U23" s="153">
        <f>+VLOOKUP($L23,Data_Validation!$A:$D,3,0)</f>
        <v>0</v>
      </c>
      <c r="V23" s="153">
        <f>+VLOOKUP($L23,Data_Validation!$A:$D,4,0)</f>
        <v>0</v>
      </c>
      <c r="W23" s="153">
        <f>+VLOOKUP($L23,Data_Validation!$A:$E,5,0)</f>
        <v>0</v>
      </c>
      <c r="X23" s="153">
        <f>+VLOOKUP($L23,Data_Validation!$A:$F,6,0)</f>
        <v>0</v>
      </c>
    </row>
    <row r="24" spans="1:24" ht="15" customHeight="1">
      <c r="A24" s="1430" t="s">
        <v>2247</v>
      </c>
      <c r="B24" s="1433">
        <v>259</v>
      </c>
      <c r="C24" s="1431"/>
      <c r="D24" s="1431"/>
      <c r="E24" s="1431"/>
      <c r="F24" s="1430" t="s">
        <v>1</v>
      </c>
      <c r="G24" s="1430" t="s">
        <v>2244</v>
      </c>
      <c r="H24" s="1431"/>
      <c r="I24" s="1432">
        <v>4437.3100000000004</v>
      </c>
      <c r="J24" s="1432">
        <v>481.8</v>
      </c>
      <c r="K24" s="1432">
        <v>4919.1099999999997</v>
      </c>
      <c r="L24" s="150">
        <f t="shared" si="0"/>
        <v>259</v>
      </c>
      <c r="M24" s="151" t="str">
        <f t="shared" si="1"/>
        <v>HEURES VENDUES - SERVICE - INTERNE VW</v>
      </c>
      <c r="N24" s="152">
        <f>+IF(OR($Q24=Parametres!$G$2,$Q24=Parametres!$G$3),I24,C24)</f>
        <v>4437.3100000000004</v>
      </c>
      <c r="O24" s="569">
        <f>+IF(OR($Q24=Parametres!$G$2,$Q24=Parametres!$G$3),J24,D24)</f>
        <v>481.8</v>
      </c>
      <c r="P24" s="152">
        <f>+IF(OR($Q24=Parametres!$G$2,$Q24=Parametres!$G$3),K24,E24)</f>
        <v>4919.1099999999997</v>
      </c>
      <c r="Q24" s="151" t="str">
        <f t="shared" si="3"/>
        <v>1-Mémo</v>
      </c>
      <c r="R24" s="150" t="str">
        <f t="shared" si="3"/>
        <v>257</v>
      </c>
      <c r="S24" s="151">
        <f t="shared" si="3"/>
        <v>0</v>
      </c>
      <c r="T24" s="153">
        <f>+VLOOKUP($L24,Data_Validation!$A:$D,1,0)</f>
        <v>259</v>
      </c>
      <c r="U24" s="153">
        <f>+VLOOKUP($L24,Data_Validation!$A:$D,3,0)</f>
        <v>0</v>
      </c>
      <c r="V24" s="153">
        <f>+VLOOKUP($L24,Data_Validation!$A:$D,4,0)</f>
        <v>0</v>
      </c>
      <c r="W24" s="153">
        <f>+VLOOKUP($L24,Data_Validation!$A:$E,5,0)</f>
        <v>0</v>
      </c>
      <c r="X24" s="153">
        <f>+VLOOKUP($L24,Data_Validation!$A:$F,6,0)</f>
        <v>0</v>
      </c>
    </row>
    <row r="25" spans="1:24" ht="15" customHeight="1">
      <c r="A25" s="1430" t="s">
        <v>2249</v>
      </c>
      <c r="B25" s="1433">
        <v>300</v>
      </c>
      <c r="C25" s="1431"/>
      <c r="D25" s="1431"/>
      <c r="E25" s="1431"/>
      <c r="F25" s="1430" t="s">
        <v>1</v>
      </c>
      <c r="G25" s="1430" t="s">
        <v>2204</v>
      </c>
      <c r="H25" s="1431"/>
      <c r="I25" s="1432">
        <v>19061.43</v>
      </c>
      <c r="J25" s="1432">
        <v>0</v>
      </c>
      <c r="K25" s="1432">
        <v>19061.43</v>
      </c>
      <c r="L25" s="150">
        <f t="shared" si="0"/>
        <v>300</v>
      </c>
      <c r="M25" s="151" t="str">
        <f t="shared" si="1"/>
        <v>REC VEH PASSE DU 30-60</v>
      </c>
      <c r="N25" s="152">
        <f>+IF(OR($Q25=Parametres!$G$2,$Q25=Parametres!$G$3),I25,C25)</f>
        <v>19061.43</v>
      </c>
      <c r="O25" s="569">
        <f>+IF(OR($Q25=Parametres!$G$2,$Q25=Parametres!$G$3),J25,D25)</f>
        <v>0</v>
      </c>
      <c r="P25" s="152">
        <f>+IF(OR($Q25=Parametres!$G$2,$Q25=Parametres!$G$3),K25,E25)</f>
        <v>19061.43</v>
      </c>
      <c r="Q25" s="151" t="str">
        <f t="shared" si="3"/>
        <v>1-Mémo</v>
      </c>
      <c r="R25" s="150" t="str">
        <f t="shared" si="3"/>
        <v>30</v>
      </c>
      <c r="S25" s="151">
        <f t="shared" si="3"/>
        <v>0</v>
      </c>
      <c r="T25" s="153">
        <f>+VLOOKUP($L25,Data_Validation!$A:$D,1,0)</f>
        <v>300</v>
      </c>
      <c r="U25" s="153">
        <f>+VLOOKUP($L25,Data_Validation!$A:$D,3,0)</f>
        <v>0</v>
      </c>
      <c r="V25" s="153">
        <f>+VLOOKUP($L25,Data_Validation!$A:$D,4,0)</f>
        <v>0</v>
      </c>
      <c r="W25" s="153">
        <f>+VLOOKUP($L25,Data_Validation!$A:$E,5,0)</f>
        <v>0</v>
      </c>
      <c r="X25" s="153">
        <f>+VLOOKUP($L25,Data_Validation!$A:$F,6,0)</f>
        <v>0</v>
      </c>
    </row>
    <row r="26" spans="1:24" ht="15.75" customHeight="1">
      <c r="A26" s="1430" t="s">
        <v>2251</v>
      </c>
      <c r="B26" s="1433">
        <v>301</v>
      </c>
      <c r="C26" s="1431"/>
      <c r="D26" s="1431"/>
      <c r="E26" s="1431"/>
      <c r="F26" s="1430" t="s">
        <v>1</v>
      </c>
      <c r="G26" s="1430" t="s">
        <v>2204</v>
      </c>
      <c r="H26" s="1431"/>
      <c r="I26" s="1432">
        <v>140603.28</v>
      </c>
      <c r="J26" s="1432">
        <v>34236.17</v>
      </c>
      <c r="K26" s="1432">
        <v>174839.45</v>
      </c>
      <c r="L26" s="150">
        <f t="shared" si="0"/>
        <v>301</v>
      </c>
      <c r="M26" s="151" t="str">
        <f t="shared" si="1"/>
        <v>CLIENT S P ET A PASSE DU 30-60</v>
      </c>
      <c r="N26" s="152">
        <f>+IF(OR($Q26=Parametres!$G$2,$Q26=Parametres!$G$3),I26,C26)</f>
        <v>140603.28</v>
      </c>
      <c r="O26" s="569">
        <f>+IF(OR($Q26=Parametres!$G$2,$Q26=Parametres!$G$3),J26,D26)</f>
        <v>34236.17</v>
      </c>
      <c r="P26" s="152">
        <f>+IF(OR($Q26=Parametres!$G$2,$Q26=Parametres!$G$3),K26,E26)</f>
        <v>174839.45</v>
      </c>
      <c r="Q26" s="151" t="str">
        <f t="shared" si="3"/>
        <v>1-Mémo</v>
      </c>
      <c r="R26" s="150" t="str">
        <f t="shared" si="3"/>
        <v>30</v>
      </c>
      <c r="S26" s="151">
        <f t="shared" si="3"/>
        <v>0</v>
      </c>
      <c r="T26" s="153">
        <f>+VLOOKUP($L26,Data_Validation!$A:$D,1,0)</f>
        <v>301</v>
      </c>
      <c r="U26" s="153">
        <f>+VLOOKUP($L26,Data_Validation!$A:$D,3,0)</f>
        <v>0</v>
      </c>
      <c r="V26" s="153">
        <f>+VLOOKUP($L26,Data_Validation!$A:$D,4,0)</f>
        <v>0</v>
      </c>
      <c r="W26" s="153">
        <f>+VLOOKUP($L26,Data_Validation!$A:$E,5,0)</f>
        <v>0</v>
      </c>
      <c r="X26" s="153">
        <f>+VLOOKUP($L26,Data_Validation!$A:$F,6,0)</f>
        <v>0</v>
      </c>
    </row>
    <row r="27" spans="1:24" ht="15" customHeight="1">
      <c r="A27" s="1430" t="s">
        <v>2253</v>
      </c>
      <c r="B27" s="1433">
        <v>302</v>
      </c>
      <c r="C27" s="1431"/>
      <c r="D27" s="1431"/>
      <c r="E27" s="1431"/>
      <c r="F27" s="1430" t="s">
        <v>1</v>
      </c>
      <c r="G27" s="1430" t="s">
        <v>2204</v>
      </c>
      <c r="H27" s="1431"/>
      <c r="I27" s="1432">
        <v>100606.23</v>
      </c>
      <c r="J27" s="1432">
        <v>28195.53</v>
      </c>
      <c r="K27" s="1432">
        <v>128801.76</v>
      </c>
      <c r="L27" s="150">
        <f t="shared" si="0"/>
        <v>302</v>
      </c>
      <c r="M27" s="151" t="str">
        <f t="shared" si="1"/>
        <v>RECLAM GARANTIE VW PASSE DU 30-60</v>
      </c>
      <c r="N27" s="152">
        <f>+IF(OR($Q27=Parametres!$G$2,$Q27=Parametres!$G$3),I27,C27)</f>
        <v>100606.23</v>
      </c>
      <c r="O27" s="569">
        <f>+IF(OR($Q27=Parametres!$G$2,$Q27=Parametres!$G$3),J27,D27)</f>
        <v>28195.53</v>
      </c>
      <c r="P27" s="152">
        <f>+IF(OR($Q27=Parametres!$G$2,$Q27=Parametres!$G$3),K27,E27)</f>
        <v>128801.76</v>
      </c>
      <c r="Q27" s="151" t="str">
        <f t="shared" si="3"/>
        <v>1-Mémo</v>
      </c>
      <c r="R27" s="150" t="str">
        <f t="shared" si="3"/>
        <v>30</v>
      </c>
      <c r="S27" s="151">
        <f t="shared" si="3"/>
        <v>0</v>
      </c>
      <c r="T27" s="153">
        <f>+VLOOKUP($L27,Data_Validation!$A:$D,1,0)</f>
        <v>302</v>
      </c>
      <c r="U27" s="153">
        <f>+VLOOKUP($L27,Data_Validation!$A:$D,3,0)</f>
        <v>0</v>
      </c>
      <c r="V27" s="153">
        <f>+VLOOKUP($L27,Data_Validation!$A:$D,4,0)</f>
        <v>0</v>
      </c>
      <c r="W27" s="153">
        <f>+VLOOKUP($L27,Data_Validation!$A:$E,5,0)</f>
        <v>0</v>
      </c>
      <c r="X27" s="153">
        <f>+VLOOKUP($L27,Data_Validation!$A:$F,6,0)</f>
        <v>0</v>
      </c>
    </row>
    <row r="28" spans="1:24" ht="15" customHeight="1">
      <c r="A28" s="1430" t="s">
        <v>2255</v>
      </c>
      <c r="B28" s="1433">
        <v>307</v>
      </c>
      <c r="C28" s="1431"/>
      <c r="D28" s="1431"/>
      <c r="E28" s="1431"/>
      <c r="F28" s="1430" t="s">
        <v>1</v>
      </c>
      <c r="G28" s="1430" t="s">
        <v>2204</v>
      </c>
      <c r="H28" s="1431"/>
      <c r="I28" s="1432">
        <v>106402.63</v>
      </c>
      <c r="J28" s="1432">
        <v>0</v>
      </c>
      <c r="K28" s="1432">
        <v>106402.63</v>
      </c>
      <c r="L28" s="150">
        <f t="shared" si="0"/>
        <v>307</v>
      </c>
      <c r="M28" s="151" t="str">
        <f t="shared" si="1"/>
        <v>AUTRE REC MANUFACTURIER VW PASSE DU 30-60</v>
      </c>
      <c r="N28" s="152">
        <f>+IF(OR($Q28=Parametres!$G$2,$Q28=Parametres!$G$3),I28,C28)</f>
        <v>106402.63</v>
      </c>
      <c r="O28" s="570">
        <f>+IF(OR($Q28=Parametres!$G$2,$Q28=Parametres!$G$3),J28,D28)</f>
        <v>0</v>
      </c>
      <c r="P28" s="152">
        <f>+IF(OR($Q28=Parametres!$G$2,$Q28=Parametres!$G$3),K28,E28)</f>
        <v>106402.63</v>
      </c>
      <c r="Q28" s="151" t="str">
        <f t="shared" si="3"/>
        <v>1-Mémo</v>
      </c>
      <c r="R28" s="150" t="str">
        <f t="shared" si="3"/>
        <v>30</v>
      </c>
      <c r="S28" s="151">
        <f t="shared" si="3"/>
        <v>0</v>
      </c>
      <c r="T28" s="153">
        <f>+VLOOKUP($L28,Data_Validation!$A:$D,1,0)</f>
        <v>307</v>
      </c>
      <c r="U28" s="153">
        <f>+VLOOKUP($L28,Data_Validation!$A:$D,3,0)</f>
        <v>0</v>
      </c>
      <c r="V28" s="153">
        <f>+VLOOKUP($L28,Data_Validation!$A:$D,4,0)</f>
        <v>0</v>
      </c>
      <c r="W28" s="153">
        <f>+VLOOKUP($L28,Data_Validation!$A:$E,5,0)</f>
        <v>0</v>
      </c>
      <c r="X28" s="153">
        <f>+VLOOKUP($L28,Data_Validation!$A:$F,6,0)</f>
        <v>0</v>
      </c>
    </row>
    <row r="29" spans="1:24" ht="15" customHeight="1">
      <c r="A29" s="1430" t="s">
        <v>2257</v>
      </c>
      <c r="B29" s="1433">
        <v>311</v>
      </c>
      <c r="C29" s="1431"/>
      <c r="D29" s="1431"/>
      <c r="E29" s="1431"/>
      <c r="F29" s="1430" t="s">
        <v>1</v>
      </c>
      <c r="G29" s="1430" t="s">
        <v>2259</v>
      </c>
      <c r="H29" s="1431"/>
      <c r="I29" s="1432">
        <v>3309.66</v>
      </c>
      <c r="J29" s="1432">
        <v>0</v>
      </c>
      <c r="K29" s="1432">
        <v>3309.66</v>
      </c>
      <c r="L29" s="150">
        <f t="shared" si="0"/>
        <v>311</v>
      </c>
      <c r="M29" s="151" t="str">
        <f t="shared" si="1"/>
        <v>CLIENT VEH PLUS DE 60</v>
      </c>
      <c r="N29" s="152">
        <f>+IF(OR($Q29=Parametres!$G$2,$Q29=Parametres!$G$3),I29,C29)</f>
        <v>3309.66</v>
      </c>
      <c r="O29" s="570">
        <f>+IF(OR($Q29=Parametres!$G$2,$Q29=Parametres!$G$3),J29,D29)</f>
        <v>0</v>
      </c>
      <c r="P29" s="152">
        <f>+IF(OR($Q29=Parametres!$G$2,$Q29=Parametres!$G$3),K29,E29)</f>
        <v>3309.66</v>
      </c>
      <c r="Q29" s="151" t="str">
        <f t="shared" si="3"/>
        <v>1-Mémo</v>
      </c>
      <c r="R29" s="150" t="str">
        <f t="shared" si="3"/>
        <v>31</v>
      </c>
      <c r="S29" s="151">
        <f t="shared" si="3"/>
        <v>0</v>
      </c>
      <c r="T29" s="153">
        <f>+VLOOKUP($L29,Data_Validation!$A:$D,1,0)</f>
        <v>311</v>
      </c>
      <c r="U29" s="153">
        <f>+VLOOKUP($L29,Data_Validation!$A:$D,3,0)</f>
        <v>0</v>
      </c>
      <c r="V29" s="153">
        <f>+VLOOKUP($L29,Data_Validation!$A:$D,4,0)</f>
        <v>0</v>
      </c>
      <c r="W29" s="153">
        <f>+VLOOKUP($L29,Data_Validation!$A:$E,5,0)</f>
        <v>0</v>
      </c>
      <c r="X29" s="153">
        <f>+VLOOKUP($L29,Data_Validation!$A:$F,6,0)</f>
        <v>0</v>
      </c>
    </row>
    <row r="30" spans="1:24" ht="15" customHeight="1">
      <c r="A30" s="1430" t="s">
        <v>2260</v>
      </c>
      <c r="B30" s="1433">
        <v>312</v>
      </c>
      <c r="C30" s="1431"/>
      <c r="D30" s="1431"/>
      <c r="E30" s="1431"/>
      <c r="F30" s="1430" t="s">
        <v>1</v>
      </c>
      <c r="G30" s="1430" t="s">
        <v>2259</v>
      </c>
      <c r="H30" s="1431"/>
      <c r="I30" s="1432">
        <v>24853.79</v>
      </c>
      <c r="J30" s="1432">
        <v>4657.6499999999996</v>
      </c>
      <c r="K30" s="1432">
        <v>29511.439999999999</v>
      </c>
      <c r="L30" s="150">
        <f t="shared" si="0"/>
        <v>312</v>
      </c>
      <c r="M30" s="151" t="str">
        <f t="shared" si="1"/>
        <v>CLIENT S P ET A PLUS DE 60</v>
      </c>
      <c r="N30" s="152">
        <f>+IF(OR($Q30=Parametres!$G$2,$Q30=Parametres!$G$3),I30,C30)</f>
        <v>24853.79</v>
      </c>
      <c r="O30" s="569">
        <f>+IF(OR($Q30=Parametres!$G$2,$Q30=Parametres!$G$3),J30,D30)</f>
        <v>4657.6499999999996</v>
      </c>
      <c r="P30" s="152">
        <f>+IF(OR($Q30=Parametres!$G$2,$Q30=Parametres!$G$3),K30,E30)</f>
        <v>29511.439999999999</v>
      </c>
      <c r="Q30" s="151" t="str">
        <f t="shared" si="3"/>
        <v>1-Mémo</v>
      </c>
      <c r="R30" s="150" t="str">
        <f t="shared" si="3"/>
        <v>31</v>
      </c>
      <c r="S30" s="151">
        <f t="shared" si="3"/>
        <v>0</v>
      </c>
      <c r="T30" s="153">
        <f>+VLOOKUP($L30,Data_Validation!$A:$D,1,0)</f>
        <v>312</v>
      </c>
      <c r="U30" s="153">
        <f>+VLOOKUP($L30,Data_Validation!$A:$D,3,0)</f>
        <v>0</v>
      </c>
      <c r="V30" s="153">
        <f>+VLOOKUP($L30,Data_Validation!$A:$D,4,0)</f>
        <v>0</v>
      </c>
      <c r="W30" s="153">
        <f>+VLOOKUP($L30,Data_Validation!$A:$E,5,0)</f>
        <v>0</v>
      </c>
      <c r="X30" s="153">
        <f>+VLOOKUP($L30,Data_Validation!$A:$F,6,0)</f>
        <v>0</v>
      </c>
    </row>
    <row r="31" spans="1:24" ht="15" customHeight="1">
      <c r="A31" s="1430" t="s">
        <v>2262</v>
      </c>
      <c r="B31" s="1433">
        <v>313</v>
      </c>
      <c r="C31" s="1431"/>
      <c r="D31" s="1431"/>
      <c r="E31" s="1431"/>
      <c r="F31" s="1430" t="s">
        <v>1</v>
      </c>
      <c r="G31" s="1430" t="s">
        <v>2259</v>
      </c>
      <c r="H31" s="1431"/>
      <c r="I31" s="1432">
        <v>136753.89000000001</v>
      </c>
      <c r="J31" s="1432">
        <v>2061.89</v>
      </c>
      <c r="K31" s="1432">
        <v>138815.78</v>
      </c>
      <c r="L31" s="150">
        <f t="shared" si="0"/>
        <v>313</v>
      </c>
      <c r="M31" s="151" t="str">
        <f t="shared" si="1"/>
        <v>RECLAMATIONS DE GARATIE VW PLUS DE 60</v>
      </c>
      <c r="N31" s="152">
        <f>+IF(OR($Q31=Parametres!$G$2,$Q31=Parametres!$G$3),I31,C31)</f>
        <v>136753.89000000001</v>
      </c>
      <c r="O31" s="152">
        <f>+IF(OR($Q31=Parametres!$G$2,$Q31=Parametres!$G$3),J31,D31)</f>
        <v>2061.89</v>
      </c>
      <c r="P31" s="152">
        <f>+IF(OR($Q31=Parametres!$G$2,$Q31=Parametres!$G$3),K31,E31)</f>
        <v>138815.78</v>
      </c>
      <c r="Q31" s="151" t="str">
        <f t="shared" si="3"/>
        <v>1-Mémo</v>
      </c>
      <c r="R31" s="150" t="str">
        <f t="shared" si="3"/>
        <v>31</v>
      </c>
      <c r="S31" s="151">
        <f t="shared" si="3"/>
        <v>0</v>
      </c>
      <c r="T31" s="153">
        <f>+VLOOKUP($L31,Data_Validation!$A:$D,1,0)</f>
        <v>313</v>
      </c>
      <c r="U31" s="153">
        <f>+VLOOKUP($L31,Data_Validation!$A:$D,3,0)</f>
        <v>0</v>
      </c>
      <c r="V31" s="153">
        <f>+VLOOKUP($L31,Data_Validation!$A:$D,4,0)</f>
        <v>0</v>
      </c>
      <c r="W31" s="153">
        <f>+VLOOKUP($L31,Data_Validation!$A:$E,5,0)</f>
        <v>0</v>
      </c>
      <c r="X31" s="153">
        <f>+VLOOKUP($L31,Data_Validation!$A:$F,6,0)</f>
        <v>0</v>
      </c>
    </row>
    <row r="32" spans="1:24" ht="15" customHeight="1">
      <c r="A32" s="1430" t="s">
        <v>2264</v>
      </c>
      <c r="B32" s="1433">
        <v>316</v>
      </c>
      <c r="C32" s="1431"/>
      <c r="D32" s="1431"/>
      <c r="E32" s="1431"/>
      <c r="F32" s="1430" t="s">
        <v>1</v>
      </c>
      <c r="G32" s="1430" t="s">
        <v>2259</v>
      </c>
      <c r="H32" s="1431"/>
      <c r="I32" s="1432">
        <v>11980.51</v>
      </c>
      <c r="J32" s="1432">
        <v>0</v>
      </c>
      <c r="K32" s="1432">
        <v>11980.51</v>
      </c>
      <c r="L32" s="150">
        <f t="shared" si="0"/>
        <v>316</v>
      </c>
      <c r="M32" s="151" t="str">
        <f t="shared" si="1"/>
        <v>AUTRE REC MANUFACTURIER VW PLUS DE 60</v>
      </c>
      <c r="N32" s="152">
        <f>+IF(OR($Q32=Parametres!$G$2,$Q32=Parametres!$G$3),I32,C32)</f>
        <v>11980.51</v>
      </c>
      <c r="O32" s="570">
        <f>+IF(OR($Q32=Parametres!$G$2,$Q32=Parametres!$G$3),J32,D32)</f>
        <v>0</v>
      </c>
      <c r="P32" s="152">
        <f>+IF(OR($Q32=Parametres!$G$2,$Q32=Parametres!$G$3),K32,E32)</f>
        <v>11980.51</v>
      </c>
      <c r="Q32" s="151" t="str">
        <f t="shared" si="3"/>
        <v>1-Mémo</v>
      </c>
      <c r="R32" s="150" t="str">
        <f t="shared" si="3"/>
        <v>31</v>
      </c>
      <c r="S32" s="151">
        <f t="shared" si="3"/>
        <v>0</v>
      </c>
      <c r="T32" s="153">
        <f>+VLOOKUP($L32,Data_Validation!$A:$D,1,0)</f>
        <v>316</v>
      </c>
      <c r="U32" s="153">
        <f>+VLOOKUP($L32,Data_Validation!$A:$D,3,0)</f>
        <v>0</v>
      </c>
      <c r="V32" s="153">
        <f>+VLOOKUP($L32,Data_Validation!$A:$D,4,0)</f>
        <v>0</v>
      </c>
      <c r="W32" s="153">
        <f>+VLOOKUP($L32,Data_Validation!$A:$E,5,0)</f>
        <v>0</v>
      </c>
      <c r="X32" s="153">
        <f>+VLOOKUP($L32,Data_Validation!$A:$F,6,0)</f>
        <v>0</v>
      </c>
    </row>
    <row r="33" spans="1:24" ht="15" customHeight="1">
      <c r="A33" s="1430" t="s">
        <v>2266</v>
      </c>
      <c r="B33" s="1433">
        <v>350</v>
      </c>
      <c r="C33" s="1431"/>
      <c r="D33" s="1431"/>
      <c r="E33" s="1431"/>
      <c r="F33" s="1430" t="s">
        <v>1</v>
      </c>
      <c r="G33" s="1430" t="s">
        <v>3246</v>
      </c>
      <c r="H33" s="1431"/>
      <c r="I33" s="1432">
        <v>0.9</v>
      </c>
      <c r="J33" s="1432">
        <v>0.06</v>
      </c>
      <c r="K33" s="1432">
        <v>0.96</v>
      </c>
      <c r="L33" s="150">
        <f t="shared" si="0"/>
        <v>350</v>
      </c>
      <c r="M33" s="151" t="str">
        <f t="shared" si="1"/>
        <v>UNITES USAGES +30JRS</v>
      </c>
      <c r="N33" s="152">
        <f>+IF(OR($Q33=Parametres!$G$2,$Q33=Parametres!$G$3),I33,C33)</f>
        <v>0.9</v>
      </c>
      <c r="O33" s="570">
        <f>+IF(OR($Q33=Parametres!$G$2,$Q33=Parametres!$G$3),J33,D33)</f>
        <v>0.06</v>
      </c>
      <c r="P33" s="152">
        <f>+IF(OR($Q33=Parametres!$G$2,$Q33=Parametres!$G$3),K33,E33)</f>
        <v>0.96</v>
      </c>
      <c r="Q33" s="151" t="str">
        <f t="shared" si="3"/>
        <v>1-Mémo</v>
      </c>
      <c r="R33" s="150" t="str">
        <f t="shared" si="3"/>
        <v>35</v>
      </c>
      <c r="S33" s="151">
        <f t="shared" si="3"/>
        <v>0</v>
      </c>
      <c r="T33" s="153">
        <f>+VLOOKUP($L33,Data_Validation!$A:$D,1,0)</f>
        <v>350</v>
      </c>
      <c r="U33" s="153">
        <f>+VLOOKUP($L33,Data_Validation!$A:$D,3,0)</f>
        <v>0</v>
      </c>
      <c r="V33" s="153">
        <f>+VLOOKUP($L33,Data_Validation!$A:$D,4,0)</f>
        <v>0</v>
      </c>
      <c r="W33" s="153">
        <f>+VLOOKUP($L33,Data_Validation!$A:$E,5,0)</f>
        <v>0</v>
      </c>
      <c r="X33" s="153">
        <f>+VLOOKUP($L33,Data_Validation!$A:$F,6,0)</f>
        <v>0</v>
      </c>
    </row>
    <row r="34" spans="1:24" ht="15.75" customHeight="1">
      <c r="A34" s="1430" t="s">
        <v>2268</v>
      </c>
      <c r="B34" s="1433">
        <v>360</v>
      </c>
      <c r="C34" s="1431"/>
      <c r="D34" s="1431"/>
      <c r="E34" s="1431"/>
      <c r="F34" s="1430" t="s">
        <v>1</v>
      </c>
      <c r="G34" s="1430" t="s">
        <v>3247</v>
      </c>
      <c r="H34" s="1431"/>
      <c r="I34" s="1432">
        <v>1745604.28</v>
      </c>
      <c r="J34" s="1432">
        <v>132872.70000000001</v>
      </c>
      <c r="K34" s="1432">
        <v>1878476.98</v>
      </c>
      <c r="L34" s="150">
        <f t="shared" si="0"/>
        <v>360</v>
      </c>
      <c r="M34" s="151" t="str">
        <f t="shared" si="1"/>
        <v>OCCASION VW + 60 JRS</v>
      </c>
      <c r="N34" s="152">
        <f>+IF(OR($Q34=Parametres!$G$2,$Q34=Parametres!$G$3),I34,C34)</f>
        <v>1745604.28</v>
      </c>
      <c r="O34" s="569">
        <f>+IF(OR($Q34=Parametres!$G$2,$Q34=Parametres!$G$3),J34,D34)</f>
        <v>132872.70000000001</v>
      </c>
      <c r="P34" s="152">
        <f>+IF(OR($Q34=Parametres!$G$2,$Q34=Parametres!$G$3),K34,E34)</f>
        <v>1878476.98</v>
      </c>
      <c r="Q34" s="151" t="str">
        <f t="shared" ref="Q34:S49" si="4">+F34</f>
        <v>1-Mémo</v>
      </c>
      <c r="R34" s="150" t="str">
        <f t="shared" si="4"/>
        <v>36</v>
      </c>
      <c r="S34" s="151">
        <f t="shared" si="4"/>
        <v>0</v>
      </c>
      <c r="T34" s="153">
        <f>+VLOOKUP($L34,Data_Validation!$A:$D,1,0)</f>
        <v>360</v>
      </c>
      <c r="U34" s="153">
        <f>+VLOOKUP($L34,Data_Validation!$A:$D,3,0)</f>
        <v>0</v>
      </c>
      <c r="V34" s="153">
        <f>+VLOOKUP($L34,Data_Validation!$A:$D,4,0)</f>
        <v>0</v>
      </c>
      <c r="W34" s="153">
        <f>+VLOOKUP($L34,Data_Validation!$A:$E,5,0)</f>
        <v>0</v>
      </c>
      <c r="X34" s="153">
        <f>+VLOOKUP($L34,Data_Validation!$A:$F,6,0)</f>
        <v>0</v>
      </c>
    </row>
    <row r="35" spans="1:24" ht="15" customHeight="1">
      <c r="A35" s="1430" t="s">
        <v>2270</v>
      </c>
      <c r="B35" s="1433">
        <v>370</v>
      </c>
      <c r="C35" s="1431"/>
      <c r="D35" s="1431"/>
      <c r="E35" s="1431"/>
      <c r="F35" s="1430" t="s">
        <v>1</v>
      </c>
      <c r="G35" s="1430" t="s">
        <v>2881</v>
      </c>
      <c r="H35" s="1431"/>
      <c r="I35" s="1432">
        <v>425000</v>
      </c>
      <c r="J35" s="1432">
        <v>0</v>
      </c>
      <c r="K35" s="1432">
        <v>425000</v>
      </c>
      <c r="L35" s="150">
        <f t="shared" si="0"/>
        <v>370</v>
      </c>
      <c r="M35" s="151" t="str">
        <f t="shared" si="1"/>
        <v>AVOIR DU PROP. MIM. REQUIS</v>
      </c>
      <c r="N35" s="152">
        <f>+IF(OR($Q35=Parametres!$G$2,$Q35=Parametres!$G$3),I35,C35)</f>
        <v>425000</v>
      </c>
      <c r="O35" s="152">
        <f>+IF(OR($Q35=Parametres!$G$2,$Q35=Parametres!$G$3),J35,D35)</f>
        <v>0</v>
      </c>
      <c r="P35" s="152">
        <f>+IF(OR($Q35=Parametres!$G$2,$Q35=Parametres!$G$3),K35,E35)</f>
        <v>425000</v>
      </c>
      <c r="Q35" s="151" t="str">
        <f t="shared" si="4"/>
        <v>1-Mémo</v>
      </c>
      <c r="R35" s="150" t="str">
        <f t="shared" si="4"/>
        <v>37</v>
      </c>
      <c r="S35" s="151">
        <f t="shared" si="4"/>
        <v>0</v>
      </c>
      <c r="T35" s="153">
        <f>+VLOOKUP($L35,Data_Validation!$A:$D,1,0)</f>
        <v>370</v>
      </c>
      <c r="U35" s="153">
        <f>+VLOOKUP($L35,Data_Validation!$A:$D,3,0)</f>
        <v>0</v>
      </c>
      <c r="V35" s="153">
        <f>+VLOOKUP($L35,Data_Validation!$A:$D,4,0)</f>
        <v>0</v>
      </c>
      <c r="W35" s="153">
        <f>+VLOOKUP($L35,Data_Validation!$A:$E,5,0)</f>
        <v>0</v>
      </c>
      <c r="X35" s="153">
        <f>+VLOOKUP($L35,Data_Validation!$A:$F,6,0)</f>
        <v>0</v>
      </c>
    </row>
    <row r="36" spans="1:24" ht="15" customHeight="1">
      <c r="A36" s="1430" t="s">
        <v>2272</v>
      </c>
      <c r="B36" s="1433">
        <v>372</v>
      </c>
      <c r="C36" s="1431"/>
      <c r="D36" s="1431"/>
      <c r="E36" s="1431"/>
      <c r="F36" s="1430" t="s">
        <v>1</v>
      </c>
      <c r="G36" s="1430" t="s">
        <v>2881</v>
      </c>
      <c r="H36" s="1431"/>
      <c r="I36" s="1432">
        <v>737500</v>
      </c>
      <c r="J36" s="1432">
        <v>0</v>
      </c>
      <c r="K36" s="1432">
        <v>737500</v>
      </c>
      <c r="L36" s="150">
        <f t="shared" si="0"/>
        <v>372</v>
      </c>
      <c r="M36" s="151" t="str">
        <f t="shared" si="1"/>
        <v>FONDS DE ROULEMENT/MIN. REQUIS</v>
      </c>
      <c r="N36" s="152">
        <f>+IF(OR($Q36=Parametres!$G$2,$Q36=Parametres!$G$3),I36,C36)</f>
        <v>737500</v>
      </c>
      <c r="O36" s="569">
        <f>+IF(OR($Q36=Parametres!$G$2,$Q36=Parametres!$G$3),J36,D36)</f>
        <v>0</v>
      </c>
      <c r="P36" s="152">
        <f>+IF(OR($Q36=Parametres!$G$2,$Q36=Parametres!$G$3),K36,E36)</f>
        <v>737500</v>
      </c>
      <c r="Q36" s="151" t="str">
        <f t="shared" si="4"/>
        <v>1-Mémo</v>
      </c>
      <c r="R36" s="150" t="str">
        <f t="shared" si="4"/>
        <v>37</v>
      </c>
      <c r="S36" s="151">
        <f t="shared" si="4"/>
        <v>0</v>
      </c>
      <c r="T36" s="153">
        <f>+VLOOKUP($L36,Data_Validation!$A:$D,1,0)</f>
        <v>372</v>
      </c>
      <c r="U36" s="153">
        <f>+VLOOKUP($L36,Data_Validation!$A:$D,3,0)</f>
        <v>0</v>
      </c>
      <c r="V36" s="153">
        <f>+VLOOKUP($L36,Data_Validation!$A:$D,4,0)</f>
        <v>0</v>
      </c>
      <c r="W36" s="153">
        <f>+VLOOKUP($L36,Data_Validation!$A:$E,5,0)</f>
        <v>0</v>
      </c>
      <c r="X36" s="153">
        <f>+VLOOKUP($L36,Data_Validation!$A:$F,6,0)</f>
        <v>0</v>
      </c>
    </row>
    <row r="37" spans="1:24" ht="15" customHeight="1">
      <c r="A37" s="1430" t="s">
        <v>2274</v>
      </c>
      <c r="B37" s="1433">
        <v>401</v>
      </c>
      <c r="C37" s="1431"/>
      <c r="D37" s="1431"/>
      <c r="E37" s="1431"/>
      <c r="F37" s="1430" t="s">
        <v>1</v>
      </c>
      <c r="G37" s="1430" t="s">
        <v>2206</v>
      </c>
      <c r="H37" s="1431"/>
      <c r="I37" s="1432">
        <v>0.24</v>
      </c>
      <c r="J37" s="1432">
        <v>0</v>
      </c>
      <c r="K37" s="1432">
        <v>0.24</v>
      </c>
      <c r="L37" s="150">
        <f t="shared" si="0"/>
        <v>401</v>
      </c>
      <c r="M37" s="151" t="str">
        <f t="shared" si="1"/>
        <v>UNITES NEUVES VENDUES JANVIER</v>
      </c>
      <c r="N37" s="152">
        <f>+IF(OR($Q37=Parametres!$G$2,$Q37=Parametres!$G$3),I37,C37)</f>
        <v>0.24</v>
      </c>
      <c r="O37" s="152">
        <f>+IF(OR($Q37=Parametres!$G$2,$Q37=Parametres!$G$3),J37,D37)</f>
        <v>0</v>
      </c>
      <c r="P37" s="152">
        <f>+IF(OR($Q37=Parametres!$G$2,$Q37=Parametres!$G$3),K37,E37)</f>
        <v>0.24</v>
      </c>
      <c r="Q37" s="151" t="str">
        <f t="shared" si="4"/>
        <v>1-Mémo</v>
      </c>
      <c r="R37" s="150" t="str">
        <f t="shared" si="4"/>
        <v>40</v>
      </c>
      <c r="S37" s="151">
        <f t="shared" si="4"/>
        <v>0</v>
      </c>
      <c r="T37" s="153">
        <f>+VLOOKUP($L37,Data_Validation!$A:$D,1,0)</f>
        <v>401</v>
      </c>
      <c r="U37" s="153">
        <f>+VLOOKUP($L37,Data_Validation!$A:$D,3,0)</f>
        <v>0</v>
      </c>
      <c r="V37" s="153">
        <f>+VLOOKUP($L37,Data_Validation!$A:$D,4,0)</f>
        <v>0</v>
      </c>
      <c r="W37" s="153">
        <f>+VLOOKUP($L37,Data_Validation!$A:$E,5,0)</f>
        <v>0</v>
      </c>
      <c r="X37" s="153">
        <f>+VLOOKUP($L37,Data_Validation!$A:$F,6,0)</f>
        <v>0</v>
      </c>
    </row>
    <row r="38" spans="1:24" ht="15" customHeight="1">
      <c r="A38" s="1430" t="s">
        <v>2276</v>
      </c>
      <c r="B38" s="1433">
        <v>402</v>
      </c>
      <c r="C38" s="1431"/>
      <c r="D38" s="1431"/>
      <c r="E38" s="1431"/>
      <c r="F38" s="1430" t="s">
        <v>1</v>
      </c>
      <c r="G38" s="1430" t="s">
        <v>2206</v>
      </c>
      <c r="H38" s="1431"/>
      <c r="I38" s="1432">
        <v>0.52</v>
      </c>
      <c r="J38" s="1432">
        <v>0</v>
      </c>
      <c r="K38" s="1432">
        <v>0.52</v>
      </c>
      <c r="L38" s="150">
        <f t="shared" si="0"/>
        <v>402</v>
      </c>
      <c r="M38" s="151" t="str">
        <f t="shared" si="1"/>
        <v>UNITES NEUVES VENDUES FEVRIER</v>
      </c>
      <c r="N38" s="152">
        <f>+IF(OR($Q38=Parametres!$G$2,$Q38=Parametres!$G$3),I38,C38)</f>
        <v>0.52</v>
      </c>
      <c r="O38" s="569">
        <f>+IF(OR($Q38=Parametres!$G$2,$Q38=Parametres!$G$3),J38,D38)</f>
        <v>0</v>
      </c>
      <c r="P38" s="152">
        <f>+IF(OR($Q38=Parametres!$G$2,$Q38=Parametres!$G$3),K38,E38)</f>
        <v>0.52</v>
      </c>
      <c r="Q38" s="151" t="str">
        <f t="shared" si="4"/>
        <v>1-Mémo</v>
      </c>
      <c r="R38" s="150" t="str">
        <f t="shared" si="4"/>
        <v>40</v>
      </c>
      <c r="S38" s="151">
        <f t="shared" si="4"/>
        <v>0</v>
      </c>
      <c r="T38" s="153">
        <f>+VLOOKUP($L38,Data_Validation!$A:$D,1,0)</f>
        <v>402</v>
      </c>
      <c r="U38" s="153">
        <f>+VLOOKUP($L38,Data_Validation!$A:$D,3,0)</f>
        <v>0</v>
      </c>
      <c r="V38" s="153">
        <f>+VLOOKUP($L38,Data_Validation!$A:$D,4,0)</f>
        <v>0</v>
      </c>
      <c r="W38" s="153">
        <f>+VLOOKUP($L38,Data_Validation!$A:$E,5,0)</f>
        <v>0</v>
      </c>
      <c r="X38" s="153">
        <f>+VLOOKUP($L38,Data_Validation!$A:$F,6,0)</f>
        <v>0</v>
      </c>
    </row>
    <row r="39" spans="1:24" ht="15" customHeight="1">
      <c r="A39" s="1430" t="s">
        <v>2278</v>
      </c>
      <c r="B39" s="1433">
        <v>403</v>
      </c>
      <c r="C39" s="1431"/>
      <c r="D39" s="1431"/>
      <c r="E39" s="1431"/>
      <c r="F39" s="1430" t="s">
        <v>1</v>
      </c>
      <c r="G39" s="1430" t="s">
        <v>2206</v>
      </c>
      <c r="H39" s="1431"/>
      <c r="I39" s="1432">
        <v>0.81</v>
      </c>
      <c r="J39" s="1432">
        <v>0</v>
      </c>
      <c r="K39" s="1432">
        <v>0.81</v>
      </c>
      <c r="L39" s="150">
        <f t="shared" si="0"/>
        <v>403</v>
      </c>
      <c r="M39" s="151" t="str">
        <f t="shared" si="1"/>
        <v>UNITES NEUVES VENDUES MARS</v>
      </c>
      <c r="N39" s="152">
        <f>+IF(OR($Q39=Parametres!$G$2,$Q39=Parametres!$G$3),I39,C39)</f>
        <v>0.81</v>
      </c>
      <c r="O39" s="571">
        <f>+IF(OR($Q39=Parametres!$G$2,$Q39=Parametres!$G$3),J39,D39)</f>
        <v>0</v>
      </c>
      <c r="P39" s="152">
        <f>+IF(OR($Q39=Parametres!$G$2,$Q39=Parametres!$G$3),K39,E39)</f>
        <v>0.81</v>
      </c>
      <c r="Q39" s="151" t="str">
        <f t="shared" si="4"/>
        <v>1-Mémo</v>
      </c>
      <c r="R39" s="150" t="str">
        <f t="shared" si="4"/>
        <v>40</v>
      </c>
      <c r="S39" s="151">
        <f t="shared" si="4"/>
        <v>0</v>
      </c>
      <c r="T39" s="153">
        <f>+VLOOKUP($L39,Data_Validation!$A:$D,1,0)</f>
        <v>403</v>
      </c>
      <c r="U39" s="153">
        <f>+VLOOKUP($L39,Data_Validation!$A:$D,3,0)</f>
        <v>0</v>
      </c>
      <c r="V39" s="153">
        <f>+VLOOKUP($L39,Data_Validation!$A:$D,4,0)</f>
        <v>0</v>
      </c>
      <c r="W39" s="153">
        <f>+VLOOKUP($L39,Data_Validation!$A:$E,5,0)</f>
        <v>0</v>
      </c>
      <c r="X39" s="153">
        <f>+VLOOKUP($L39,Data_Validation!$A:$F,6,0)</f>
        <v>0</v>
      </c>
    </row>
    <row r="40" spans="1:24" ht="15.75" customHeight="1">
      <c r="A40" s="1430" t="s">
        <v>2280</v>
      </c>
      <c r="B40" s="1433">
        <v>404</v>
      </c>
      <c r="C40" s="1431"/>
      <c r="D40" s="1431"/>
      <c r="E40" s="1431"/>
      <c r="F40" s="1430" t="s">
        <v>1</v>
      </c>
      <c r="G40" s="1430" t="s">
        <v>2206</v>
      </c>
      <c r="H40" s="1431"/>
      <c r="I40" s="1432">
        <v>0.73</v>
      </c>
      <c r="J40" s="1432">
        <v>0</v>
      </c>
      <c r="K40" s="1432">
        <v>0.73</v>
      </c>
      <c r="L40" s="150">
        <f t="shared" si="0"/>
        <v>404</v>
      </c>
      <c r="M40" s="151" t="str">
        <f t="shared" si="1"/>
        <v>UNITES NEUVES VENDUES AVRIL</v>
      </c>
      <c r="N40" s="152">
        <f>+IF(OR($Q40=Parametres!$G$2,$Q40=Parametres!$G$3),I40,C40)</f>
        <v>0.73</v>
      </c>
      <c r="O40" s="570">
        <f>+IF(OR($Q40=Parametres!$G$2,$Q40=Parametres!$G$3),J40,D40)</f>
        <v>0</v>
      </c>
      <c r="P40" s="152">
        <f>+IF(OR($Q40=Parametres!$G$2,$Q40=Parametres!$G$3),K40,E40)</f>
        <v>0.73</v>
      </c>
      <c r="Q40" s="151" t="str">
        <f t="shared" si="4"/>
        <v>1-Mémo</v>
      </c>
      <c r="R40" s="150" t="str">
        <f t="shared" si="4"/>
        <v>40</v>
      </c>
      <c r="S40" s="151">
        <f t="shared" si="4"/>
        <v>0</v>
      </c>
      <c r="T40" s="153">
        <f>+VLOOKUP($L40,Data_Validation!$A:$D,1,0)</f>
        <v>404</v>
      </c>
      <c r="U40" s="153">
        <f>+VLOOKUP($L40,Data_Validation!$A:$D,3,0)</f>
        <v>0</v>
      </c>
      <c r="V40" s="153">
        <f>+VLOOKUP($L40,Data_Validation!$A:$D,4,0)</f>
        <v>0</v>
      </c>
      <c r="W40" s="153">
        <f>+VLOOKUP($L40,Data_Validation!$A:$E,5,0)</f>
        <v>0</v>
      </c>
      <c r="X40" s="153">
        <f>+VLOOKUP($L40,Data_Validation!$A:$F,6,0)</f>
        <v>0</v>
      </c>
    </row>
    <row r="41" spans="1:24" ht="15" customHeight="1">
      <c r="A41" s="1430" t="s">
        <v>2282</v>
      </c>
      <c r="B41" s="1433">
        <v>405</v>
      </c>
      <c r="C41" s="1431"/>
      <c r="D41" s="1431"/>
      <c r="E41" s="1431"/>
      <c r="F41" s="1430" t="s">
        <v>1</v>
      </c>
      <c r="G41" s="1430" t="s">
        <v>2206</v>
      </c>
      <c r="H41" s="1431"/>
      <c r="I41" s="1432">
        <v>0.91</v>
      </c>
      <c r="J41" s="1432">
        <v>0</v>
      </c>
      <c r="K41" s="1432">
        <v>0.91</v>
      </c>
      <c r="L41" s="150">
        <f t="shared" si="0"/>
        <v>405</v>
      </c>
      <c r="M41" s="151" t="str">
        <f t="shared" si="1"/>
        <v>UNITES NEUVES VENDUES MAI</v>
      </c>
      <c r="N41" s="152">
        <f>+IF(OR($Q41=Parametres!$G$2,$Q41=Parametres!$G$3),I41,C41)</f>
        <v>0.91</v>
      </c>
      <c r="O41" s="569">
        <f>+IF(OR($Q41=Parametres!$G$2,$Q41=Parametres!$G$3),J41,D41)</f>
        <v>0</v>
      </c>
      <c r="P41" s="152">
        <f>+IF(OR($Q41=Parametres!$G$2,$Q41=Parametres!$G$3),K41,E41)</f>
        <v>0.91</v>
      </c>
      <c r="Q41" s="151" t="str">
        <f t="shared" si="4"/>
        <v>1-Mémo</v>
      </c>
      <c r="R41" s="150" t="str">
        <f t="shared" si="4"/>
        <v>40</v>
      </c>
      <c r="S41" s="151">
        <f t="shared" si="4"/>
        <v>0</v>
      </c>
      <c r="T41" s="153">
        <f>+VLOOKUP($L41,Data_Validation!$A:$D,1,0)</f>
        <v>405</v>
      </c>
      <c r="U41" s="153">
        <f>+VLOOKUP($L41,Data_Validation!$A:$D,3,0)</f>
        <v>0</v>
      </c>
      <c r="V41" s="153">
        <f>+VLOOKUP($L41,Data_Validation!$A:$D,4,0)</f>
        <v>0</v>
      </c>
      <c r="W41" s="153">
        <f>+VLOOKUP($L41,Data_Validation!$A:$E,5,0)</f>
        <v>0</v>
      </c>
      <c r="X41" s="153">
        <f>+VLOOKUP($L41,Data_Validation!$A:$F,6,0)</f>
        <v>0</v>
      </c>
    </row>
    <row r="42" spans="1:24" ht="15" customHeight="1">
      <c r="A42" s="1430" t="s">
        <v>2284</v>
      </c>
      <c r="B42" s="1433">
        <v>406</v>
      </c>
      <c r="C42" s="1431"/>
      <c r="D42" s="1431"/>
      <c r="E42" s="1431"/>
      <c r="F42" s="1430" t="s">
        <v>1</v>
      </c>
      <c r="G42" s="1430" t="s">
        <v>2206</v>
      </c>
      <c r="H42" s="1431"/>
      <c r="I42" s="1432">
        <v>0.65</v>
      </c>
      <c r="J42" s="1432">
        <v>0</v>
      </c>
      <c r="K42" s="1432">
        <v>0.65</v>
      </c>
      <c r="L42" s="150">
        <f t="shared" si="0"/>
        <v>406</v>
      </c>
      <c r="M42" s="151" t="str">
        <f t="shared" si="1"/>
        <v>UNITES NEUVES VENDUES JUIN</v>
      </c>
      <c r="N42" s="152">
        <f>+IF(OR($Q42=Parametres!$G$2,$Q42=Parametres!$G$3),I42,C42)</f>
        <v>0.65</v>
      </c>
      <c r="O42" s="570">
        <f>+IF(OR($Q42=Parametres!$G$2,$Q42=Parametres!$G$3),J42,D42)</f>
        <v>0</v>
      </c>
      <c r="P42" s="152">
        <f>+IF(OR($Q42=Parametres!$G$2,$Q42=Parametres!$G$3),K42,E42)</f>
        <v>0.65</v>
      </c>
      <c r="Q42" s="151" t="str">
        <f t="shared" si="4"/>
        <v>1-Mémo</v>
      </c>
      <c r="R42" s="150" t="str">
        <f t="shared" si="4"/>
        <v>40</v>
      </c>
      <c r="S42" s="151">
        <f t="shared" si="4"/>
        <v>0</v>
      </c>
      <c r="T42" s="153">
        <f>+VLOOKUP($L42,Data_Validation!$A:$D,1,0)</f>
        <v>406</v>
      </c>
      <c r="U42" s="153">
        <f>+VLOOKUP($L42,Data_Validation!$A:$D,3,0)</f>
        <v>0</v>
      </c>
      <c r="V42" s="153">
        <f>+VLOOKUP($L42,Data_Validation!$A:$D,4,0)</f>
        <v>0</v>
      </c>
      <c r="W42" s="153">
        <f>+VLOOKUP($L42,Data_Validation!$A:$E,5,0)</f>
        <v>0</v>
      </c>
      <c r="X42" s="153">
        <f>+VLOOKUP($L42,Data_Validation!$A:$F,6,0)</f>
        <v>0</v>
      </c>
    </row>
    <row r="43" spans="1:24" ht="15" customHeight="1">
      <c r="A43" s="1430" t="s">
        <v>2286</v>
      </c>
      <c r="B43" s="1433">
        <v>407</v>
      </c>
      <c r="C43" s="1431"/>
      <c r="D43" s="1431"/>
      <c r="E43" s="1431"/>
      <c r="F43" s="1430" t="s">
        <v>1</v>
      </c>
      <c r="G43" s="1430" t="s">
        <v>2206</v>
      </c>
      <c r="H43" s="1431"/>
      <c r="I43" s="1432">
        <v>0.67</v>
      </c>
      <c r="J43" s="1432">
        <v>0</v>
      </c>
      <c r="K43" s="1432">
        <v>0.67</v>
      </c>
      <c r="L43" s="150">
        <f t="shared" si="0"/>
        <v>407</v>
      </c>
      <c r="M43" s="151" t="str">
        <f t="shared" si="1"/>
        <v>UNITES NEUVES VENDUES JUILLET</v>
      </c>
      <c r="N43" s="152">
        <f>+IF(OR($Q43=Parametres!$G$2,$Q43=Parametres!$G$3),I43,C43)</f>
        <v>0.67</v>
      </c>
      <c r="O43" s="570">
        <f>+IF(OR($Q43=Parametres!$G$2,$Q43=Parametres!$G$3),J43,D43)</f>
        <v>0</v>
      </c>
      <c r="P43" s="152">
        <f>+IF(OR($Q43=Parametres!$G$2,$Q43=Parametres!$G$3),K43,E43)</f>
        <v>0.67</v>
      </c>
      <c r="Q43" s="151" t="str">
        <f t="shared" si="4"/>
        <v>1-Mémo</v>
      </c>
      <c r="R43" s="150" t="str">
        <f t="shared" si="4"/>
        <v>40</v>
      </c>
      <c r="S43" s="151">
        <f t="shared" si="4"/>
        <v>0</v>
      </c>
      <c r="T43" s="153">
        <f>+VLOOKUP($L43,Data_Validation!$A:$D,1,0)</f>
        <v>407</v>
      </c>
      <c r="U43" s="153">
        <f>+VLOOKUP($L43,Data_Validation!$A:$D,3,0)</f>
        <v>0</v>
      </c>
      <c r="V43" s="153">
        <f>+VLOOKUP($L43,Data_Validation!$A:$D,4,0)</f>
        <v>0</v>
      </c>
      <c r="W43" s="153">
        <f>+VLOOKUP($L43,Data_Validation!$A:$E,5,0)</f>
        <v>0</v>
      </c>
      <c r="X43" s="153">
        <f>+VLOOKUP($L43,Data_Validation!$A:$F,6,0)</f>
        <v>0</v>
      </c>
    </row>
    <row r="44" spans="1:24" ht="15.75" customHeight="1">
      <c r="A44" s="1430" t="s">
        <v>2288</v>
      </c>
      <c r="B44" s="1433">
        <v>408</v>
      </c>
      <c r="C44" s="1431"/>
      <c r="D44" s="1431"/>
      <c r="E44" s="1431"/>
      <c r="F44" s="1430" t="s">
        <v>1</v>
      </c>
      <c r="G44" s="1430" t="s">
        <v>2206</v>
      </c>
      <c r="H44" s="1431"/>
      <c r="I44" s="1432">
        <v>0.78</v>
      </c>
      <c r="J44" s="1432">
        <v>0</v>
      </c>
      <c r="K44" s="1432">
        <v>0.78</v>
      </c>
      <c r="L44" s="150">
        <f t="shared" si="0"/>
        <v>408</v>
      </c>
      <c r="M44" s="151" t="str">
        <f t="shared" si="1"/>
        <v>UNITES NEUVES VENDUES AOUT</v>
      </c>
      <c r="N44" s="152">
        <f>+IF(OR($Q44=Parametres!$G$2,$Q44=Parametres!$G$3),I44,C44)</f>
        <v>0.78</v>
      </c>
      <c r="O44" s="570">
        <f>+IF(OR($Q44=Parametres!$G$2,$Q44=Parametres!$G$3),J44,D44)</f>
        <v>0</v>
      </c>
      <c r="P44" s="152">
        <f>+IF(OR($Q44=Parametres!$G$2,$Q44=Parametres!$G$3),K44,E44)</f>
        <v>0.78</v>
      </c>
      <c r="Q44" s="151" t="str">
        <f t="shared" si="4"/>
        <v>1-Mémo</v>
      </c>
      <c r="R44" s="150" t="str">
        <f t="shared" si="4"/>
        <v>40</v>
      </c>
      <c r="S44" s="151">
        <f t="shared" si="4"/>
        <v>0</v>
      </c>
      <c r="T44" s="153">
        <f>+VLOOKUP($L44,Data_Validation!$A:$D,1,0)</f>
        <v>408</v>
      </c>
      <c r="U44" s="153">
        <f>+VLOOKUP($L44,Data_Validation!$A:$D,3,0)</f>
        <v>0</v>
      </c>
      <c r="V44" s="153">
        <f>+VLOOKUP($L44,Data_Validation!$A:$D,4,0)</f>
        <v>0</v>
      </c>
      <c r="W44" s="153">
        <f>+VLOOKUP($L44,Data_Validation!$A:$E,5,0)</f>
        <v>0</v>
      </c>
      <c r="X44" s="153">
        <f>+VLOOKUP($L44,Data_Validation!$A:$F,6,0)</f>
        <v>0</v>
      </c>
    </row>
    <row r="45" spans="1:24" ht="15" customHeight="1">
      <c r="A45" s="1430" t="s">
        <v>2290</v>
      </c>
      <c r="B45" s="1433">
        <v>409</v>
      </c>
      <c r="C45" s="1431"/>
      <c r="D45" s="1431"/>
      <c r="E45" s="1431"/>
      <c r="F45" s="1430" t="s">
        <v>1</v>
      </c>
      <c r="G45" s="1430" t="s">
        <v>2206</v>
      </c>
      <c r="H45" s="1431"/>
      <c r="I45" s="1432">
        <v>0.91</v>
      </c>
      <c r="J45" s="1432">
        <v>0</v>
      </c>
      <c r="K45" s="1432">
        <v>0.91</v>
      </c>
      <c r="L45" s="150">
        <f t="shared" si="0"/>
        <v>409</v>
      </c>
      <c r="M45" s="151" t="str">
        <f t="shared" si="1"/>
        <v>UNITES NEUVES VENDUES SEPTEMBRE</v>
      </c>
      <c r="N45" s="152">
        <f>+IF(OR($Q45=Parametres!$G$2,$Q45=Parametres!$G$3),I45,C45)</f>
        <v>0.91</v>
      </c>
      <c r="O45" s="570">
        <f>+IF(OR($Q45=Parametres!$G$2,$Q45=Parametres!$G$3),J45,D45)</f>
        <v>0</v>
      </c>
      <c r="P45" s="152">
        <f>+IF(OR($Q45=Parametres!$G$2,$Q45=Parametres!$G$3),K45,E45)</f>
        <v>0.91</v>
      </c>
      <c r="Q45" s="151" t="str">
        <f t="shared" si="4"/>
        <v>1-Mémo</v>
      </c>
      <c r="R45" s="150" t="str">
        <f t="shared" si="4"/>
        <v>40</v>
      </c>
      <c r="S45" s="151">
        <f t="shared" si="4"/>
        <v>0</v>
      </c>
      <c r="T45" s="153">
        <f>+VLOOKUP($L45,Data_Validation!$A:$D,1,0)</f>
        <v>409</v>
      </c>
      <c r="U45" s="153">
        <f>+VLOOKUP($L45,Data_Validation!$A:$D,3,0)</f>
        <v>0</v>
      </c>
      <c r="V45" s="153">
        <f>+VLOOKUP($L45,Data_Validation!$A:$D,4,0)</f>
        <v>0</v>
      </c>
      <c r="W45" s="153">
        <f>+VLOOKUP($L45,Data_Validation!$A:$E,5,0)</f>
        <v>0</v>
      </c>
      <c r="X45" s="153">
        <f>+VLOOKUP($L45,Data_Validation!$A:$F,6,0)</f>
        <v>0</v>
      </c>
    </row>
    <row r="46" spans="1:24" ht="15" customHeight="1">
      <c r="A46" s="1430" t="s">
        <v>2292</v>
      </c>
      <c r="B46" s="1433">
        <v>410</v>
      </c>
      <c r="C46" s="1431"/>
      <c r="D46" s="1431"/>
      <c r="E46" s="1431"/>
      <c r="F46" s="1430" t="s">
        <v>1</v>
      </c>
      <c r="G46" s="1430" t="s">
        <v>2206</v>
      </c>
      <c r="H46" s="1431"/>
      <c r="I46" s="1432">
        <v>0</v>
      </c>
      <c r="J46" s="1432">
        <v>0.76</v>
      </c>
      <c r="K46" s="1432">
        <v>0.76</v>
      </c>
      <c r="L46" s="150">
        <f t="shared" si="0"/>
        <v>410</v>
      </c>
      <c r="M46" s="151" t="str">
        <f t="shared" si="1"/>
        <v>UNITES NEUVES VENDUES OCTOBRE</v>
      </c>
      <c r="N46" s="152">
        <f>+IF(OR($Q46=Parametres!$G$2,$Q46=Parametres!$G$3),I46,C46)</f>
        <v>0</v>
      </c>
      <c r="O46" s="570">
        <f>+IF(OR($Q46=Parametres!$G$2,$Q46=Parametres!$G$3),J46,D46)</f>
        <v>0.76</v>
      </c>
      <c r="P46" s="152">
        <f>+IF(OR($Q46=Parametres!$G$2,$Q46=Parametres!$G$3),K46,E46)</f>
        <v>0.76</v>
      </c>
      <c r="Q46" s="151" t="str">
        <f t="shared" si="4"/>
        <v>1-Mémo</v>
      </c>
      <c r="R46" s="150" t="str">
        <f t="shared" si="4"/>
        <v>40</v>
      </c>
      <c r="S46" s="151">
        <f t="shared" si="4"/>
        <v>0</v>
      </c>
      <c r="T46" s="153">
        <f>+VLOOKUP($L46,Data_Validation!$A:$D,1,0)</f>
        <v>410</v>
      </c>
      <c r="U46" s="153">
        <f>+VLOOKUP($L46,Data_Validation!$A:$D,3,0)</f>
        <v>0</v>
      </c>
      <c r="V46" s="153">
        <f>+VLOOKUP($L46,Data_Validation!$A:$D,4,0)</f>
        <v>0</v>
      </c>
      <c r="W46" s="153">
        <f>+VLOOKUP($L46,Data_Validation!$A:$E,5,0)</f>
        <v>0</v>
      </c>
      <c r="X46" s="153">
        <f>+VLOOKUP($L46,Data_Validation!$A:$F,6,0)</f>
        <v>0</v>
      </c>
    </row>
    <row r="47" spans="1:24" ht="15" customHeight="1">
      <c r="A47" s="1430" t="s">
        <v>2295</v>
      </c>
      <c r="B47" s="1433">
        <v>421</v>
      </c>
      <c r="C47" s="1431"/>
      <c r="D47" s="1431"/>
      <c r="E47" s="1431"/>
      <c r="F47" s="1430" t="s">
        <v>1</v>
      </c>
      <c r="G47" s="1430" t="s">
        <v>2297</v>
      </c>
      <c r="H47" s="1431"/>
      <c r="I47" s="1432">
        <v>0.15</v>
      </c>
      <c r="J47" s="1432">
        <v>0</v>
      </c>
      <c r="K47" s="1432">
        <v>0.15</v>
      </c>
      <c r="L47" s="150">
        <f t="shared" si="0"/>
        <v>421</v>
      </c>
      <c r="M47" s="151" t="str">
        <f t="shared" si="1"/>
        <v>UNITES USAGES DET./ JANV.</v>
      </c>
      <c r="N47" s="152">
        <f>+IF(OR($Q47=Parametres!$G$2,$Q47=Parametres!$G$3),I47,C47)</f>
        <v>0.15</v>
      </c>
      <c r="O47" s="152">
        <f>+IF(OR($Q47=Parametres!$G$2,$Q47=Parametres!$G$3),J47,D47)</f>
        <v>0</v>
      </c>
      <c r="P47" s="152">
        <f>+IF(OR($Q47=Parametres!$G$2,$Q47=Parametres!$G$3),K47,E47)</f>
        <v>0.15</v>
      </c>
      <c r="Q47" s="151" t="str">
        <f t="shared" si="4"/>
        <v>1-Mémo</v>
      </c>
      <c r="R47" s="150" t="str">
        <f t="shared" si="4"/>
        <v>42</v>
      </c>
      <c r="S47" s="151">
        <f t="shared" si="4"/>
        <v>0</v>
      </c>
      <c r="T47" s="153">
        <f>+VLOOKUP($L47,Data_Validation!$A:$D,1,0)</f>
        <v>421</v>
      </c>
      <c r="U47" s="153">
        <f>+VLOOKUP($L47,Data_Validation!$A:$D,3,0)</f>
        <v>0</v>
      </c>
      <c r="V47" s="153">
        <f>+VLOOKUP($L47,Data_Validation!$A:$D,4,0)</f>
        <v>0</v>
      </c>
      <c r="W47" s="153">
        <f>+VLOOKUP($L47,Data_Validation!$A:$E,5,0)</f>
        <v>0</v>
      </c>
      <c r="X47" s="153">
        <f>+VLOOKUP($L47,Data_Validation!$A:$F,6,0)</f>
        <v>0</v>
      </c>
    </row>
    <row r="48" spans="1:24" ht="15.75" customHeight="1">
      <c r="A48" s="1430" t="s">
        <v>2298</v>
      </c>
      <c r="B48" s="1433">
        <v>422</v>
      </c>
      <c r="C48" s="1431"/>
      <c r="D48" s="1431"/>
      <c r="E48" s="1431"/>
      <c r="F48" s="1430" t="s">
        <v>1</v>
      </c>
      <c r="G48" s="1430" t="s">
        <v>2297</v>
      </c>
      <c r="H48" s="1431"/>
      <c r="I48" s="1432">
        <v>0.3</v>
      </c>
      <c r="J48" s="1432">
        <v>0</v>
      </c>
      <c r="K48" s="1432">
        <v>0.3</v>
      </c>
      <c r="L48" s="150">
        <f t="shared" si="0"/>
        <v>422</v>
      </c>
      <c r="M48" s="151" t="str">
        <f t="shared" si="1"/>
        <v>UNITES USAGES DET./ FEVR.</v>
      </c>
      <c r="N48" s="152">
        <f>+IF(OR($Q48=Parametres!$G$2,$Q48=Parametres!$G$3),I48,C48)</f>
        <v>0.3</v>
      </c>
      <c r="O48" s="152">
        <f>+IF(OR($Q48=Parametres!$G$2,$Q48=Parametres!$G$3),J48,D48)</f>
        <v>0</v>
      </c>
      <c r="P48" s="152">
        <f>+IF(OR($Q48=Parametres!$G$2,$Q48=Parametres!$G$3),K48,E48)</f>
        <v>0.3</v>
      </c>
      <c r="Q48" s="151" t="str">
        <f t="shared" si="4"/>
        <v>1-Mémo</v>
      </c>
      <c r="R48" s="150" t="str">
        <f t="shared" si="4"/>
        <v>42</v>
      </c>
      <c r="S48" s="151">
        <f t="shared" si="4"/>
        <v>0</v>
      </c>
      <c r="T48" s="153">
        <f>+VLOOKUP($L48,Data_Validation!$A:$D,1,0)</f>
        <v>422</v>
      </c>
      <c r="U48" s="153">
        <f>+VLOOKUP($L48,Data_Validation!$A:$D,3,0)</f>
        <v>0</v>
      </c>
      <c r="V48" s="153">
        <f>+VLOOKUP($L48,Data_Validation!$A:$D,4,0)</f>
        <v>0</v>
      </c>
      <c r="W48" s="153">
        <f>+VLOOKUP($L48,Data_Validation!$A:$E,5,0)</f>
        <v>0</v>
      </c>
      <c r="X48" s="153">
        <f>+VLOOKUP($L48,Data_Validation!$A:$F,6,0)</f>
        <v>0</v>
      </c>
    </row>
    <row r="49" spans="1:24" ht="15" customHeight="1">
      <c r="A49" s="1430" t="s">
        <v>2300</v>
      </c>
      <c r="B49" s="1433">
        <v>423</v>
      </c>
      <c r="C49" s="1431"/>
      <c r="D49" s="1431"/>
      <c r="E49" s="1431"/>
      <c r="F49" s="1430" t="s">
        <v>1</v>
      </c>
      <c r="G49" s="1430" t="s">
        <v>2297</v>
      </c>
      <c r="H49" s="1431"/>
      <c r="I49" s="1432">
        <v>0.42</v>
      </c>
      <c r="J49" s="1432">
        <v>0</v>
      </c>
      <c r="K49" s="1432">
        <v>0.42</v>
      </c>
      <c r="L49" s="150">
        <f t="shared" si="0"/>
        <v>423</v>
      </c>
      <c r="M49" s="151" t="str">
        <f t="shared" si="1"/>
        <v>UNITES USAGES DET./ MARS</v>
      </c>
      <c r="N49" s="152">
        <f>+IF(OR($Q49=Parametres!$G$2,$Q49=Parametres!$G$3),I49,C49)</f>
        <v>0.42</v>
      </c>
      <c r="O49" s="569">
        <f>+IF(OR($Q49=Parametres!$G$2,$Q49=Parametres!$G$3),J49,D49)</f>
        <v>0</v>
      </c>
      <c r="P49" s="152">
        <f>+IF(OR($Q49=Parametres!$G$2,$Q49=Parametres!$G$3),K49,E49)</f>
        <v>0.42</v>
      </c>
      <c r="Q49" s="151" t="str">
        <f t="shared" si="4"/>
        <v>1-Mémo</v>
      </c>
      <c r="R49" s="150" t="str">
        <f t="shared" si="4"/>
        <v>42</v>
      </c>
      <c r="S49" s="151">
        <f t="shared" si="4"/>
        <v>0</v>
      </c>
      <c r="T49" s="153">
        <f>+VLOOKUP($L49,Data_Validation!$A:$D,1,0)</f>
        <v>423</v>
      </c>
      <c r="U49" s="153">
        <f>+VLOOKUP($L49,Data_Validation!$A:$D,3,0)</f>
        <v>0</v>
      </c>
      <c r="V49" s="153">
        <f>+VLOOKUP($L49,Data_Validation!$A:$D,4,0)</f>
        <v>0</v>
      </c>
      <c r="W49" s="153">
        <f>+VLOOKUP($L49,Data_Validation!$A:$E,5,0)</f>
        <v>0</v>
      </c>
      <c r="X49" s="153">
        <f>+VLOOKUP($L49,Data_Validation!$A:$F,6,0)</f>
        <v>0</v>
      </c>
    </row>
    <row r="50" spans="1:24" ht="15" customHeight="1">
      <c r="A50" s="1430" t="s">
        <v>2302</v>
      </c>
      <c r="B50" s="1433">
        <v>424</v>
      </c>
      <c r="C50" s="1431"/>
      <c r="D50" s="1431"/>
      <c r="E50" s="1431"/>
      <c r="F50" s="1430" t="s">
        <v>1</v>
      </c>
      <c r="G50" s="1430" t="s">
        <v>2297</v>
      </c>
      <c r="H50" s="1431"/>
      <c r="I50" s="1432">
        <v>0.41</v>
      </c>
      <c r="J50" s="1432">
        <v>0</v>
      </c>
      <c r="K50" s="1432">
        <v>0.41</v>
      </c>
      <c r="L50" s="150">
        <f t="shared" si="0"/>
        <v>424</v>
      </c>
      <c r="M50" s="151" t="str">
        <f t="shared" si="1"/>
        <v>UNITES USAGES DET./ AVRIL</v>
      </c>
      <c r="N50" s="152">
        <f>+IF(OR($Q50=Parametres!$G$2,$Q50=Parametres!$G$3),I50,C50)</f>
        <v>0.41</v>
      </c>
      <c r="O50" s="570">
        <f>+IF(OR($Q50=Parametres!$G$2,$Q50=Parametres!$G$3),J50,D50)</f>
        <v>0</v>
      </c>
      <c r="P50" s="152">
        <f>+IF(OR($Q50=Parametres!$G$2,$Q50=Parametres!$G$3),K50,E50)</f>
        <v>0.41</v>
      </c>
      <c r="Q50" s="151" t="str">
        <f t="shared" ref="Q50:S65" si="5">+F50</f>
        <v>1-Mémo</v>
      </c>
      <c r="R50" s="150" t="str">
        <f t="shared" si="5"/>
        <v>42</v>
      </c>
      <c r="S50" s="151">
        <f t="shared" si="5"/>
        <v>0</v>
      </c>
      <c r="T50" s="153">
        <f>+VLOOKUP($L50,Data_Validation!$A:$D,1,0)</f>
        <v>424</v>
      </c>
      <c r="U50" s="153">
        <f>+VLOOKUP($L50,Data_Validation!$A:$D,3,0)</f>
        <v>0</v>
      </c>
      <c r="V50" s="153">
        <f>+VLOOKUP($L50,Data_Validation!$A:$D,4,0)</f>
        <v>0</v>
      </c>
      <c r="W50" s="153">
        <f>+VLOOKUP($L50,Data_Validation!$A:$E,5,0)</f>
        <v>0</v>
      </c>
      <c r="X50" s="153">
        <f>+VLOOKUP($L50,Data_Validation!$A:$F,6,0)</f>
        <v>0</v>
      </c>
    </row>
    <row r="51" spans="1:24" ht="15" customHeight="1">
      <c r="A51" s="1430" t="s">
        <v>2304</v>
      </c>
      <c r="B51" s="1433">
        <v>425</v>
      </c>
      <c r="C51" s="1431"/>
      <c r="D51" s="1431"/>
      <c r="E51" s="1431"/>
      <c r="F51" s="1430" t="s">
        <v>1</v>
      </c>
      <c r="G51" s="1430" t="s">
        <v>2297</v>
      </c>
      <c r="H51" s="1431"/>
      <c r="I51" s="1432">
        <v>0.39</v>
      </c>
      <c r="J51" s="1432">
        <v>0</v>
      </c>
      <c r="K51" s="1432">
        <v>0.39</v>
      </c>
      <c r="L51" s="150">
        <f t="shared" si="0"/>
        <v>425</v>
      </c>
      <c r="M51" s="151" t="str">
        <f t="shared" si="1"/>
        <v>UNITES USAGES DET./ MAI</v>
      </c>
      <c r="N51" s="152">
        <f>+IF(OR($Q51=Parametres!$G$2,$Q51=Parametres!$G$3),I51,C51)</f>
        <v>0.39</v>
      </c>
      <c r="O51" s="570">
        <f>+IF(OR($Q51=Parametres!$G$2,$Q51=Parametres!$G$3),J51,D51)</f>
        <v>0</v>
      </c>
      <c r="P51" s="152">
        <f>+IF(OR($Q51=Parametres!$G$2,$Q51=Parametres!$G$3),K51,E51)</f>
        <v>0.39</v>
      </c>
      <c r="Q51" s="151" t="str">
        <f t="shared" si="5"/>
        <v>1-Mémo</v>
      </c>
      <c r="R51" s="150" t="str">
        <f t="shared" si="5"/>
        <v>42</v>
      </c>
      <c r="S51" s="151">
        <f t="shared" si="5"/>
        <v>0</v>
      </c>
      <c r="T51" s="153">
        <f>+VLOOKUP($L51,Data_Validation!$A:$D,1,0)</f>
        <v>425</v>
      </c>
      <c r="U51" s="153">
        <f>+VLOOKUP($L51,Data_Validation!$A:$D,3,0)</f>
        <v>0</v>
      </c>
      <c r="V51" s="153">
        <f>+VLOOKUP($L51,Data_Validation!$A:$D,4,0)</f>
        <v>0</v>
      </c>
      <c r="W51" s="153">
        <f>+VLOOKUP($L51,Data_Validation!$A:$E,5,0)</f>
        <v>0</v>
      </c>
      <c r="X51" s="153">
        <f>+VLOOKUP($L51,Data_Validation!$A:$F,6,0)</f>
        <v>0</v>
      </c>
    </row>
    <row r="52" spans="1:24" ht="15.75" customHeight="1">
      <c r="A52" s="1430" t="s">
        <v>2306</v>
      </c>
      <c r="B52" s="1433">
        <v>426</v>
      </c>
      <c r="C52" s="1431"/>
      <c r="D52" s="1431"/>
      <c r="E52" s="1431"/>
      <c r="F52" s="1430" t="s">
        <v>1</v>
      </c>
      <c r="G52" s="1430" t="s">
        <v>2297</v>
      </c>
      <c r="H52" s="1431"/>
      <c r="I52" s="1432">
        <v>0.37</v>
      </c>
      <c r="J52" s="1432">
        <v>0</v>
      </c>
      <c r="K52" s="1432">
        <v>0.37</v>
      </c>
      <c r="L52" s="150">
        <f t="shared" si="0"/>
        <v>426</v>
      </c>
      <c r="M52" s="151" t="str">
        <f t="shared" si="1"/>
        <v>UNITES USAGES DET./ JUIN</v>
      </c>
      <c r="N52" s="152">
        <f>+IF(OR($Q52=Parametres!$G$2,$Q52=Parametres!$G$3),I52,C52)</f>
        <v>0.37</v>
      </c>
      <c r="O52" s="152">
        <f>+IF(OR($Q52=Parametres!$G$2,$Q52=Parametres!$G$3),J52,D52)</f>
        <v>0</v>
      </c>
      <c r="P52" s="152">
        <f>+IF(OR($Q52=Parametres!$G$2,$Q52=Parametres!$G$3),K52,E52)</f>
        <v>0.37</v>
      </c>
      <c r="Q52" s="151" t="str">
        <f t="shared" si="5"/>
        <v>1-Mémo</v>
      </c>
      <c r="R52" s="150" t="str">
        <f t="shared" si="5"/>
        <v>42</v>
      </c>
      <c r="S52" s="151">
        <f t="shared" si="5"/>
        <v>0</v>
      </c>
      <c r="T52" s="153">
        <f>+VLOOKUP($L52,Data_Validation!$A:$D,1,0)</f>
        <v>426</v>
      </c>
      <c r="U52" s="153">
        <f>+VLOOKUP($L52,Data_Validation!$A:$D,3,0)</f>
        <v>0</v>
      </c>
      <c r="V52" s="153">
        <f>+VLOOKUP($L52,Data_Validation!$A:$D,4,0)</f>
        <v>0</v>
      </c>
      <c r="W52" s="153">
        <f>+VLOOKUP($L52,Data_Validation!$A:$E,5,0)</f>
        <v>0</v>
      </c>
      <c r="X52" s="153">
        <f>+VLOOKUP($L52,Data_Validation!$A:$F,6,0)</f>
        <v>0</v>
      </c>
    </row>
    <row r="53" spans="1:24" ht="15" customHeight="1">
      <c r="A53" s="1430" t="s">
        <v>2308</v>
      </c>
      <c r="B53" s="1433">
        <v>427</v>
      </c>
      <c r="C53" s="1431"/>
      <c r="D53" s="1431"/>
      <c r="E53" s="1431"/>
      <c r="F53" s="1430" t="s">
        <v>1</v>
      </c>
      <c r="G53" s="1430" t="s">
        <v>2297</v>
      </c>
      <c r="H53" s="1431"/>
      <c r="I53" s="1432">
        <v>0.41</v>
      </c>
      <c r="J53" s="1432">
        <v>0</v>
      </c>
      <c r="K53" s="1432">
        <v>0.41</v>
      </c>
      <c r="L53" s="150">
        <f t="shared" si="0"/>
        <v>427</v>
      </c>
      <c r="M53" s="151" t="str">
        <f t="shared" si="1"/>
        <v>UNITES USAGES DET./ JUILLET</v>
      </c>
      <c r="N53" s="152">
        <f>+IF(OR($Q53=Parametres!$G$2,$Q53=Parametres!$G$3),I53,C53)</f>
        <v>0.41</v>
      </c>
      <c r="O53" s="569">
        <f>+IF(OR($Q53=Parametres!$G$2,$Q53=Parametres!$G$3),J53,D53)</f>
        <v>0</v>
      </c>
      <c r="P53" s="152">
        <f>+IF(OR($Q53=Parametres!$G$2,$Q53=Parametres!$G$3),K53,E53)</f>
        <v>0.41</v>
      </c>
      <c r="Q53" s="151" t="str">
        <f t="shared" si="5"/>
        <v>1-Mémo</v>
      </c>
      <c r="R53" s="150" t="str">
        <f t="shared" si="5"/>
        <v>42</v>
      </c>
      <c r="S53" s="151">
        <f t="shared" si="5"/>
        <v>0</v>
      </c>
      <c r="T53" s="153">
        <f>+VLOOKUP($L53,Data_Validation!$A:$D,1,0)</f>
        <v>427</v>
      </c>
      <c r="U53" s="153">
        <f>+VLOOKUP($L53,Data_Validation!$A:$D,3,0)</f>
        <v>0</v>
      </c>
      <c r="V53" s="153">
        <f>+VLOOKUP($L53,Data_Validation!$A:$D,4,0)</f>
        <v>0</v>
      </c>
      <c r="W53" s="153">
        <f>+VLOOKUP($L53,Data_Validation!$A:$E,5,0)</f>
        <v>0</v>
      </c>
      <c r="X53" s="153">
        <f>+VLOOKUP($L53,Data_Validation!$A:$F,6,0)</f>
        <v>0</v>
      </c>
    </row>
    <row r="54" spans="1:24" ht="15" customHeight="1">
      <c r="A54" s="1430" t="s">
        <v>2310</v>
      </c>
      <c r="B54" s="1433">
        <v>428</v>
      </c>
      <c r="C54" s="1431"/>
      <c r="D54" s="1431"/>
      <c r="E54" s="1431"/>
      <c r="F54" s="1430" t="s">
        <v>1</v>
      </c>
      <c r="G54" s="1430" t="s">
        <v>2297</v>
      </c>
      <c r="H54" s="1431"/>
      <c r="I54" s="1432">
        <v>0.39</v>
      </c>
      <c r="J54" s="1432">
        <v>0</v>
      </c>
      <c r="K54" s="1432">
        <v>0.39</v>
      </c>
      <c r="L54" s="150">
        <f t="shared" si="0"/>
        <v>428</v>
      </c>
      <c r="M54" s="151" t="str">
        <f t="shared" si="1"/>
        <v>UNITES USAGES DET./ AOUT</v>
      </c>
      <c r="N54" s="152">
        <f>+IF(OR($Q54=Parametres!$G$2,$Q54=Parametres!$G$3),I54,C54)</f>
        <v>0.39</v>
      </c>
      <c r="O54" s="152">
        <f>+IF(OR($Q54=Parametres!$G$2,$Q54=Parametres!$G$3),J54,D54)</f>
        <v>0</v>
      </c>
      <c r="P54" s="152">
        <f>+IF(OR($Q54=Parametres!$G$2,$Q54=Parametres!$G$3),K54,E54)</f>
        <v>0.39</v>
      </c>
      <c r="Q54" s="151" t="str">
        <f t="shared" si="5"/>
        <v>1-Mémo</v>
      </c>
      <c r="R54" s="150" t="str">
        <f t="shared" si="5"/>
        <v>42</v>
      </c>
      <c r="S54" s="151">
        <f t="shared" si="5"/>
        <v>0</v>
      </c>
      <c r="T54" s="153">
        <f>+VLOOKUP($L54,Data_Validation!$A:$D,1,0)</f>
        <v>428</v>
      </c>
      <c r="U54" s="153">
        <f>+VLOOKUP($L54,Data_Validation!$A:$D,3,0)</f>
        <v>0</v>
      </c>
      <c r="V54" s="153">
        <f>+VLOOKUP($L54,Data_Validation!$A:$D,4,0)</f>
        <v>0</v>
      </c>
      <c r="W54" s="153">
        <f>+VLOOKUP($L54,Data_Validation!$A:$E,5,0)</f>
        <v>0</v>
      </c>
      <c r="X54" s="153">
        <f>+VLOOKUP($L54,Data_Validation!$A:$F,6,0)</f>
        <v>0</v>
      </c>
    </row>
    <row r="55" spans="1:24" ht="15" customHeight="1">
      <c r="A55" s="1430" t="s">
        <v>2312</v>
      </c>
      <c r="B55" s="1433">
        <v>429</v>
      </c>
      <c r="C55" s="1431"/>
      <c r="D55" s="1431"/>
      <c r="E55" s="1431"/>
      <c r="F55" s="1430" t="s">
        <v>1</v>
      </c>
      <c r="G55" s="1430" t="s">
        <v>2297</v>
      </c>
      <c r="H55" s="1431"/>
      <c r="I55" s="1432">
        <v>0.38</v>
      </c>
      <c r="J55" s="1432">
        <v>0</v>
      </c>
      <c r="K55" s="1432">
        <v>0.38</v>
      </c>
      <c r="L55" s="150">
        <f t="shared" si="0"/>
        <v>429</v>
      </c>
      <c r="M55" s="151" t="str">
        <f t="shared" si="1"/>
        <v>UNITES USAGES DET./ SEPT.</v>
      </c>
      <c r="N55" s="152">
        <f>+IF(OR($Q55=Parametres!$G$2,$Q55=Parametres!$G$3),I55,C55)</f>
        <v>0.38</v>
      </c>
      <c r="O55" s="152">
        <f>+IF(OR($Q55=Parametres!$G$2,$Q55=Parametres!$G$3),J55,D55)</f>
        <v>0</v>
      </c>
      <c r="P55" s="152">
        <f>+IF(OR($Q55=Parametres!$G$2,$Q55=Parametres!$G$3),K55,E55)</f>
        <v>0.38</v>
      </c>
      <c r="Q55" s="151" t="str">
        <f t="shared" si="5"/>
        <v>1-Mémo</v>
      </c>
      <c r="R55" s="150" t="str">
        <f t="shared" si="5"/>
        <v>42</v>
      </c>
      <c r="S55" s="151">
        <f t="shared" si="5"/>
        <v>0</v>
      </c>
      <c r="T55" s="153">
        <f>+VLOOKUP($L55,Data_Validation!$A:$D,1,0)</f>
        <v>429</v>
      </c>
      <c r="U55" s="153">
        <f>+VLOOKUP($L55,Data_Validation!$A:$D,3,0)</f>
        <v>0</v>
      </c>
      <c r="V55" s="153">
        <f>+VLOOKUP($L55,Data_Validation!$A:$D,4,0)</f>
        <v>0</v>
      </c>
      <c r="W55" s="153">
        <f>+VLOOKUP($L55,Data_Validation!$A:$E,5,0)</f>
        <v>0</v>
      </c>
      <c r="X55" s="153">
        <f>+VLOOKUP($L55,Data_Validation!$A:$F,6,0)</f>
        <v>0</v>
      </c>
    </row>
    <row r="56" spans="1:24" ht="15.75" customHeight="1">
      <c r="A56" s="1430" t="s">
        <v>2314</v>
      </c>
      <c r="B56" s="1433">
        <v>430</v>
      </c>
      <c r="C56" s="1431"/>
      <c r="D56" s="1431"/>
      <c r="E56" s="1431"/>
      <c r="F56" s="1430" t="s">
        <v>1</v>
      </c>
      <c r="G56" s="1430" t="s">
        <v>2297</v>
      </c>
      <c r="H56" s="1431"/>
      <c r="I56" s="1432">
        <v>0</v>
      </c>
      <c r="J56" s="1432">
        <v>0.34</v>
      </c>
      <c r="K56" s="1432">
        <v>0.34</v>
      </c>
      <c r="L56" s="150">
        <f t="shared" si="0"/>
        <v>430</v>
      </c>
      <c r="M56" s="151" t="str">
        <f t="shared" si="1"/>
        <v>UNITES USAGES DET./ OCT.</v>
      </c>
      <c r="N56" s="152">
        <f>+IF(OR($Q56=Parametres!$G$2,$Q56=Parametres!$G$3),I56,C56)</f>
        <v>0</v>
      </c>
      <c r="O56" s="569">
        <f>+IF(OR($Q56=Parametres!$G$2,$Q56=Parametres!$G$3),J56,D56)</f>
        <v>0.34</v>
      </c>
      <c r="P56" s="152">
        <f>+IF(OR($Q56=Parametres!$G$2,$Q56=Parametres!$G$3),K56,E56)</f>
        <v>0.34</v>
      </c>
      <c r="Q56" s="151" t="str">
        <f t="shared" si="5"/>
        <v>1-Mémo</v>
      </c>
      <c r="R56" s="150" t="str">
        <f t="shared" si="5"/>
        <v>42</v>
      </c>
      <c r="S56" s="151">
        <f t="shared" si="5"/>
        <v>0</v>
      </c>
      <c r="T56" s="153">
        <f>+VLOOKUP($L56,Data_Validation!$A:$D,1,0)</f>
        <v>430</v>
      </c>
      <c r="U56" s="153">
        <f>+VLOOKUP($L56,Data_Validation!$A:$D,3,0)</f>
        <v>0</v>
      </c>
      <c r="V56" s="153">
        <f>+VLOOKUP($L56,Data_Validation!$A:$D,4,0)</f>
        <v>0</v>
      </c>
      <c r="W56" s="153">
        <f>+VLOOKUP($L56,Data_Validation!$A:$E,5,0)</f>
        <v>0</v>
      </c>
      <c r="X56" s="153">
        <f>+VLOOKUP($L56,Data_Validation!$A:$F,6,0)</f>
        <v>0</v>
      </c>
    </row>
    <row r="57" spans="1:24" ht="15" customHeight="1">
      <c r="A57" s="1430" t="s">
        <v>2318</v>
      </c>
      <c r="B57" s="1433">
        <v>500</v>
      </c>
      <c r="C57" s="1431"/>
      <c r="D57" s="1431"/>
      <c r="E57" s="1431"/>
      <c r="F57" s="1430" t="s">
        <v>1</v>
      </c>
      <c r="G57" s="1430" t="s">
        <v>2208</v>
      </c>
      <c r="H57" s="1431"/>
      <c r="I57" s="1432">
        <v>1</v>
      </c>
      <c r="J57" s="1432">
        <v>0</v>
      </c>
      <c r="K57" s="1432">
        <v>1</v>
      </c>
      <c r="L57" s="150">
        <f t="shared" si="0"/>
        <v>500</v>
      </c>
      <c r="M57" s="151" t="str">
        <f t="shared" si="1"/>
        <v>PROPRIETAIRES</v>
      </c>
      <c r="N57" s="152">
        <f>+IF(OR($Q57=Parametres!$G$2,$Q57=Parametres!$G$3),I57,C57)</f>
        <v>1</v>
      </c>
      <c r="O57" s="152">
        <f>+IF(OR($Q57=Parametres!$G$2,$Q57=Parametres!$G$3),J57,D57)</f>
        <v>0</v>
      </c>
      <c r="P57" s="152">
        <f>+IF(OR($Q57=Parametres!$G$2,$Q57=Parametres!$G$3),K57,E57)</f>
        <v>1</v>
      </c>
      <c r="Q57" s="151" t="str">
        <f t="shared" si="5"/>
        <v>1-Mémo</v>
      </c>
      <c r="R57" s="150" t="str">
        <f t="shared" si="5"/>
        <v>50</v>
      </c>
      <c r="S57" s="151">
        <f t="shared" si="5"/>
        <v>0</v>
      </c>
      <c r="T57" s="153">
        <f>+VLOOKUP($L57,Data_Validation!$A:$D,1,0)</f>
        <v>500</v>
      </c>
      <c r="U57" s="153">
        <f>+VLOOKUP($L57,Data_Validation!$A:$D,3,0)</f>
        <v>0</v>
      </c>
      <c r="V57" s="153">
        <f>+VLOOKUP($L57,Data_Validation!$A:$D,4,0)</f>
        <v>0</v>
      </c>
      <c r="W57" s="153" t="str">
        <f>+VLOOKUP($L57,Data_Validation!$A:$E,5,0)</f>
        <v>$</v>
      </c>
      <c r="X57" s="153">
        <f>+VLOOKUP($L57,Data_Validation!$A:$F,6,0)</f>
        <v>0</v>
      </c>
    </row>
    <row r="58" spans="1:24" ht="15" customHeight="1">
      <c r="A58" s="1430" t="s">
        <v>2320</v>
      </c>
      <c r="B58" s="1433">
        <v>511</v>
      </c>
      <c r="C58" s="1431"/>
      <c r="D58" s="1431"/>
      <c r="E58" s="1431"/>
      <c r="F58" s="1430" t="s">
        <v>1</v>
      </c>
      <c r="G58" s="1430" t="s">
        <v>2208</v>
      </c>
      <c r="H58" s="1431"/>
      <c r="I58" s="1432">
        <v>0.2</v>
      </c>
      <c r="J58" s="1432">
        <v>0</v>
      </c>
      <c r="K58" s="1432">
        <v>0.2</v>
      </c>
      <c r="L58" s="150">
        <f t="shared" si="0"/>
        <v>511</v>
      </c>
      <c r="M58" s="151" t="str">
        <f t="shared" si="1"/>
        <v>DIR. GENERAL NEUFS</v>
      </c>
      <c r="N58" s="152">
        <f>+IF(OR($Q58=Parametres!$G$2,$Q58=Parametres!$G$3),I58,C58)</f>
        <v>0.2</v>
      </c>
      <c r="O58" s="152">
        <f>+IF(OR($Q58=Parametres!$G$2,$Q58=Parametres!$G$3),J58,D58)</f>
        <v>0</v>
      </c>
      <c r="P58" s="152">
        <f>+IF(OR($Q58=Parametres!$G$2,$Q58=Parametres!$G$3),K58,E58)</f>
        <v>0.2</v>
      </c>
      <c r="Q58" s="151" t="str">
        <f t="shared" si="5"/>
        <v>1-Mémo</v>
      </c>
      <c r="R58" s="150" t="str">
        <f t="shared" si="5"/>
        <v>50</v>
      </c>
      <c r="S58" s="151">
        <f t="shared" si="5"/>
        <v>0</v>
      </c>
      <c r="T58" s="153">
        <f>+VLOOKUP($L58,Data_Validation!$A:$D,1,0)</f>
        <v>511</v>
      </c>
      <c r="U58" s="153">
        <f>+VLOOKUP($L58,Data_Validation!$A:$D,3,0)</f>
        <v>0</v>
      </c>
      <c r="V58" s="153">
        <f>+VLOOKUP($L58,Data_Validation!$A:$D,4,0)</f>
        <v>0</v>
      </c>
      <c r="W58" s="153" t="str">
        <f>+VLOOKUP($L58,Data_Validation!$A:$E,5,0)</f>
        <v>$</v>
      </c>
      <c r="X58" s="153">
        <f>+VLOOKUP($L58,Data_Validation!$A:$F,6,0)</f>
        <v>0</v>
      </c>
    </row>
    <row r="59" spans="1:24" ht="15" customHeight="1">
      <c r="A59" s="1430" t="s">
        <v>2321</v>
      </c>
      <c r="B59" s="1433">
        <v>512</v>
      </c>
      <c r="C59" s="1431"/>
      <c r="D59" s="1431"/>
      <c r="E59" s="1431"/>
      <c r="F59" s="1430" t="s">
        <v>1</v>
      </c>
      <c r="G59" s="1430" t="s">
        <v>2208</v>
      </c>
      <c r="H59" s="1431"/>
      <c r="I59" s="1432">
        <v>0.2</v>
      </c>
      <c r="J59" s="1432">
        <v>0</v>
      </c>
      <c r="K59" s="1432">
        <v>0.2</v>
      </c>
      <c r="L59" s="150">
        <f t="shared" si="0"/>
        <v>512</v>
      </c>
      <c r="M59" s="151" t="str">
        <f t="shared" si="1"/>
        <v>DIR. GENERAL USAGES</v>
      </c>
      <c r="N59" s="152">
        <f>+IF(OR($Q59=Parametres!$G$2,$Q59=Parametres!$G$3),I59,C59)</f>
        <v>0.2</v>
      </c>
      <c r="O59" s="152">
        <f>+IF(OR($Q59=Parametres!$G$2,$Q59=Parametres!$G$3),J59,D59)</f>
        <v>0</v>
      </c>
      <c r="P59" s="152">
        <f>+IF(OR($Q59=Parametres!$G$2,$Q59=Parametres!$G$3),K59,E59)</f>
        <v>0.2</v>
      </c>
      <c r="Q59" s="151" t="str">
        <f t="shared" si="5"/>
        <v>1-Mémo</v>
      </c>
      <c r="R59" s="150" t="str">
        <f t="shared" si="5"/>
        <v>50</v>
      </c>
      <c r="S59" s="151">
        <f t="shared" si="5"/>
        <v>0</v>
      </c>
      <c r="T59" s="153">
        <f>+VLOOKUP($L59,Data_Validation!$A:$D,1,0)</f>
        <v>512</v>
      </c>
      <c r="U59" s="153">
        <f>+VLOOKUP($L59,Data_Validation!$A:$D,3,0)</f>
        <v>0</v>
      </c>
      <c r="V59" s="153">
        <f>+VLOOKUP($L59,Data_Validation!$A:$D,4,0)</f>
        <v>0</v>
      </c>
      <c r="W59" s="153" t="str">
        <f>+VLOOKUP($L59,Data_Validation!$A:$E,5,0)</f>
        <v>$</v>
      </c>
      <c r="X59" s="153">
        <f>+VLOOKUP($L59,Data_Validation!$A:$F,6,0)</f>
        <v>0</v>
      </c>
    </row>
    <row r="60" spans="1:24" ht="15" customHeight="1">
      <c r="A60" s="1430" t="s">
        <v>2322</v>
      </c>
      <c r="B60" s="1433">
        <v>514</v>
      </c>
      <c r="C60" s="1431"/>
      <c r="D60" s="1431"/>
      <c r="E60" s="1431"/>
      <c r="F60" s="1430" t="s">
        <v>1</v>
      </c>
      <c r="G60" s="1430" t="s">
        <v>2208</v>
      </c>
      <c r="H60" s="1431"/>
      <c r="I60" s="1432">
        <v>0.2</v>
      </c>
      <c r="J60" s="1432">
        <v>0</v>
      </c>
      <c r="K60" s="1432">
        <v>0.2</v>
      </c>
      <c r="L60" s="150">
        <f t="shared" si="0"/>
        <v>514</v>
      </c>
      <c r="M60" s="151" t="str">
        <f t="shared" si="1"/>
        <v>DIR. GENERAL SERVICE</v>
      </c>
      <c r="N60" s="152">
        <f>+IF(OR($Q60=Parametres!$G$2,$Q60=Parametres!$G$3),I60,C60)</f>
        <v>0.2</v>
      </c>
      <c r="O60" s="569">
        <f>+IF(OR($Q60=Parametres!$G$2,$Q60=Parametres!$G$3),J60,D60)</f>
        <v>0</v>
      </c>
      <c r="P60" s="152">
        <f>+IF(OR($Q60=Parametres!$G$2,$Q60=Parametres!$G$3),K60,E60)</f>
        <v>0.2</v>
      </c>
      <c r="Q60" s="151" t="str">
        <f t="shared" si="5"/>
        <v>1-Mémo</v>
      </c>
      <c r="R60" s="150" t="str">
        <f t="shared" si="5"/>
        <v>50</v>
      </c>
      <c r="S60" s="151">
        <f t="shared" si="5"/>
        <v>0</v>
      </c>
      <c r="T60" s="153">
        <f>+VLOOKUP($L60,Data_Validation!$A:$D,1,0)</f>
        <v>514</v>
      </c>
      <c r="U60" s="153">
        <f>+VLOOKUP($L60,Data_Validation!$A:$D,3,0)</f>
        <v>0</v>
      </c>
      <c r="V60" s="153">
        <f>+VLOOKUP($L60,Data_Validation!$A:$D,4,0)</f>
        <v>0</v>
      </c>
      <c r="W60" s="153" t="str">
        <f>+VLOOKUP($L60,Data_Validation!$A:$E,5,0)</f>
        <v>$</v>
      </c>
      <c r="X60" s="153">
        <f>+VLOOKUP($L60,Data_Validation!$A:$F,6,0)</f>
        <v>0</v>
      </c>
    </row>
    <row r="61" spans="1:24" ht="15" customHeight="1">
      <c r="A61" s="1430" t="s">
        <v>2324</v>
      </c>
      <c r="B61" s="1433">
        <v>515</v>
      </c>
      <c r="C61" s="1431"/>
      <c r="D61" s="1431"/>
      <c r="E61" s="1431"/>
      <c r="F61" s="1430" t="s">
        <v>1</v>
      </c>
      <c r="G61" s="1430" t="s">
        <v>2208</v>
      </c>
      <c r="H61" s="1431"/>
      <c r="I61" s="1432">
        <v>0.2</v>
      </c>
      <c r="J61" s="1432">
        <v>0</v>
      </c>
      <c r="K61" s="1432">
        <v>0.2</v>
      </c>
      <c r="L61" s="150">
        <f t="shared" si="0"/>
        <v>515</v>
      </c>
      <c r="M61" s="151" t="str">
        <f t="shared" si="1"/>
        <v>DIR. GENERAL CARROSS.</v>
      </c>
      <c r="N61" s="152">
        <f>+IF(OR($Q61=Parametres!$G$2,$Q61=Parametres!$G$3),I61,C61)</f>
        <v>0.2</v>
      </c>
      <c r="O61" s="569">
        <f>+IF(OR($Q61=Parametres!$G$2,$Q61=Parametres!$G$3),J61,D61)</f>
        <v>0</v>
      </c>
      <c r="P61" s="152">
        <f>+IF(OR($Q61=Parametres!$G$2,$Q61=Parametres!$G$3),K61,E61)</f>
        <v>0.2</v>
      </c>
      <c r="Q61" s="151" t="str">
        <f t="shared" si="5"/>
        <v>1-Mémo</v>
      </c>
      <c r="R61" s="150" t="str">
        <f t="shared" si="5"/>
        <v>50</v>
      </c>
      <c r="S61" s="151">
        <f t="shared" si="5"/>
        <v>0</v>
      </c>
      <c r="T61" s="153">
        <f>+VLOOKUP($L61,Data_Validation!$A:$D,1,0)</f>
        <v>515</v>
      </c>
      <c r="U61" s="153">
        <f>+VLOOKUP($L61,Data_Validation!$A:$D,3,0)</f>
        <v>0</v>
      </c>
      <c r="V61" s="153">
        <f>+VLOOKUP($L61,Data_Validation!$A:$D,4,0)</f>
        <v>0</v>
      </c>
      <c r="W61" s="153" t="str">
        <f>+VLOOKUP($L61,Data_Validation!$A:$E,5,0)</f>
        <v>$</v>
      </c>
      <c r="X61" s="153">
        <f>+VLOOKUP($L61,Data_Validation!$A:$F,6,0)</f>
        <v>0</v>
      </c>
    </row>
    <row r="62" spans="1:24" ht="15" customHeight="1">
      <c r="A62" s="1430" t="s">
        <v>2326</v>
      </c>
      <c r="B62" s="1433">
        <v>517</v>
      </c>
      <c r="C62" s="1431"/>
      <c r="D62" s="1431"/>
      <c r="E62" s="1431"/>
      <c r="F62" s="1430" t="s">
        <v>1</v>
      </c>
      <c r="G62" s="1430" t="s">
        <v>2208</v>
      </c>
      <c r="H62" s="1431"/>
      <c r="I62" s="1432">
        <v>0.2</v>
      </c>
      <c r="J62" s="1432">
        <v>0</v>
      </c>
      <c r="K62" s="1432">
        <v>0.2</v>
      </c>
      <c r="L62" s="150">
        <f t="shared" si="0"/>
        <v>517</v>
      </c>
      <c r="M62" s="151" t="str">
        <f t="shared" si="1"/>
        <v>DIR. GENERAL PIECES</v>
      </c>
      <c r="N62" s="152">
        <f>+IF(OR($Q62=Parametres!$G$2,$Q62=Parametres!$G$3),I62,C62)</f>
        <v>0.2</v>
      </c>
      <c r="O62" s="152">
        <f>+IF(OR($Q62=Parametres!$G$2,$Q62=Parametres!$G$3),J62,D62)</f>
        <v>0</v>
      </c>
      <c r="P62" s="152">
        <f>+IF(OR($Q62=Parametres!$G$2,$Q62=Parametres!$G$3),K62,E62)</f>
        <v>0.2</v>
      </c>
      <c r="Q62" s="151" t="str">
        <f t="shared" si="5"/>
        <v>1-Mémo</v>
      </c>
      <c r="R62" s="150" t="str">
        <f t="shared" si="5"/>
        <v>50</v>
      </c>
      <c r="S62" s="151">
        <f t="shared" si="5"/>
        <v>0</v>
      </c>
      <c r="T62" s="153">
        <f>+VLOOKUP($L62,Data_Validation!$A:$D,1,0)</f>
        <v>517</v>
      </c>
      <c r="U62" s="153">
        <f>+VLOOKUP($L62,Data_Validation!$A:$D,3,0)</f>
        <v>0</v>
      </c>
      <c r="V62" s="153">
        <f>+VLOOKUP($L62,Data_Validation!$A:$D,4,0)</f>
        <v>0</v>
      </c>
      <c r="W62" s="153" t="str">
        <f>+VLOOKUP($L62,Data_Validation!$A:$E,5,0)</f>
        <v>$</v>
      </c>
      <c r="X62" s="153">
        <f>+VLOOKUP($L62,Data_Validation!$A:$F,6,0)</f>
        <v>0</v>
      </c>
    </row>
    <row r="63" spans="1:24" ht="15" customHeight="1">
      <c r="A63" s="1430" t="s">
        <v>2328</v>
      </c>
      <c r="B63" s="1433">
        <v>521</v>
      </c>
      <c r="C63" s="1431"/>
      <c r="D63" s="1431"/>
      <c r="E63" s="1431"/>
      <c r="F63" s="1430" t="s">
        <v>1</v>
      </c>
      <c r="G63" s="1430" t="s">
        <v>2208</v>
      </c>
      <c r="H63" s="1431"/>
      <c r="I63" s="1432">
        <v>2</v>
      </c>
      <c r="J63" s="1432">
        <v>0</v>
      </c>
      <c r="K63" s="1432">
        <v>2</v>
      </c>
      <c r="L63" s="150">
        <f t="shared" si="0"/>
        <v>521</v>
      </c>
      <c r="M63" s="151" t="str">
        <f t="shared" si="1"/>
        <v>DIR. SERVICE NEUFS</v>
      </c>
      <c r="N63" s="152">
        <f>+IF(OR($Q63=Parametres!$G$2,$Q63=Parametres!$G$3),I63,C63)</f>
        <v>2</v>
      </c>
      <c r="O63" s="152">
        <f>+IF(OR($Q63=Parametres!$G$2,$Q63=Parametres!$G$3),J63,D63)</f>
        <v>0</v>
      </c>
      <c r="P63" s="152">
        <f>+IF(OR($Q63=Parametres!$G$2,$Q63=Parametres!$G$3),K63,E63)</f>
        <v>2</v>
      </c>
      <c r="Q63" s="151" t="str">
        <f t="shared" si="5"/>
        <v>1-Mémo</v>
      </c>
      <c r="R63" s="150" t="str">
        <f t="shared" si="5"/>
        <v>50</v>
      </c>
      <c r="S63" s="151">
        <f t="shared" si="5"/>
        <v>0</v>
      </c>
      <c r="T63" s="153">
        <f>+VLOOKUP($L63,Data_Validation!$A:$D,1,0)</f>
        <v>521</v>
      </c>
      <c r="U63" s="153">
        <f>+VLOOKUP($L63,Data_Validation!$A:$D,3,0)</f>
        <v>0</v>
      </c>
      <c r="V63" s="153">
        <f>+VLOOKUP($L63,Data_Validation!$A:$D,4,0)</f>
        <v>0</v>
      </c>
      <c r="W63" s="153" t="str">
        <f>+VLOOKUP($L63,Data_Validation!$A:$E,5,0)</f>
        <v>$</v>
      </c>
      <c r="X63" s="153">
        <f>+VLOOKUP($L63,Data_Validation!$A:$F,6,0)</f>
        <v>0</v>
      </c>
    </row>
    <row r="64" spans="1:24" ht="15" customHeight="1">
      <c r="A64" s="1430" t="s">
        <v>2330</v>
      </c>
      <c r="B64" s="1433">
        <v>522</v>
      </c>
      <c r="C64" s="1431"/>
      <c r="D64" s="1431"/>
      <c r="E64" s="1431"/>
      <c r="F64" s="1430" t="s">
        <v>1</v>
      </c>
      <c r="G64" s="1430" t="s">
        <v>2208</v>
      </c>
      <c r="H64" s="1431"/>
      <c r="I64" s="1432">
        <v>1</v>
      </c>
      <c r="J64" s="1432">
        <v>0</v>
      </c>
      <c r="K64" s="1432">
        <v>1</v>
      </c>
      <c r="L64" s="150">
        <f t="shared" si="0"/>
        <v>522</v>
      </c>
      <c r="M64" s="151" t="str">
        <f t="shared" si="1"/>
        <v>DIR. SERVICE USAGES</v>
      </c>
      <c r="N64" s="152">
        <f>+IF(OR($Q64=Parametres!$G$2,$Q64=Parametres!$G$3),I64,C64)</f>
        <v>1</v>
      </c>
      <c r="O64" s="152">
        <f>+IF(OR($Q64=Parametres!$G$2,$Q64=Parametres!$G$3),J64,D64)</f>
        <v>0</v>
      </c>
      <c r="P64" s="152">
        <f>+IF(OR($Q64=Parametres!$G$2,$Q64=Parametres!$G$3),K64,E64)</f>
        <v>1</v>
      </c>
      <c r="Q64" s="151" t="str">
        <f t="shared" si="5"/>
        <v>1-Mémo</v>
      </c>
      <c r="R64" s="150" t="str">
        <f t="shared" si="5"/>
        <v>50</v>
      </c>
      <c r="S64" s="151">
        <f t="shared" si="5"/>
        <v>0</v>
      </c>
      <c r="T64" s="153">
        <f>+VLOOKUP($L64,Data_Validation!$A:$D,1,0)</f>
        <v>522</v>
      </c>
      <c r="U64" s="153">
        <f>+VLOOKUP($L64,Data_Validation!$A:$D,3,0)</f>
        <v>0</v>
      </c>
      <c r="V64" s="153">
        <f>+VLOOKUP($L64,Data_Validation!$A:$D,4,0)</f>
        <v>0</v>
      </c>
      <c r="W64" s="153" t="str">
        <f>+VLOOKUP($L64,Data_Validation!$A:$E,5,0)</f>
        <v>$</v>
      </c>
      <c r="X64" s="153">
        <f>+VLOOKUP($L64,Data_Validation!$A:$F,6,0)</f>
        <v>0</v>
      </c>
    </row>
    <row r="65" spans="1:24" ht="15" customHeight="1">
      <c r="A65" s="1430" t="s">
        <v>2332</v>
      </c>
      <c r="B65" s="1433">
        <v>524</v>
      </c>
      <c r="C65" s="1431"/>
      <c r="D65" s="1431"/>
      <c r="E65" s="1431"/>
      <c r="F65" s="1430" t="s">
        <v>1</v>
      </c>
      <c r="G65" s="1430" t="s">
        <v>2208</v>
      </c>
      <c r="H65" s="1431"/>
      <c r="I65" s="1432">
        <v>2</v>
      </c>
      <c r="J65" s="1432">
        <v>0</v>
      </c>
      <c r="K65" s="1432">
        <v>2</v>
      </c>
      <c r="L65" s="150">
        <f t="shared" si="0"/>
        <v>524</v>
      </c>
      <c r="M65" s="151" t="str">
        <f t="shared" si="1"/>
        <v>DIR. SERVICE SERVICE</v>
      </c>
      <c r="N65" s="152">
        <f>+IF(OR($Q65=Parametres!$G$2,$Q65=Parametres!$G$3),I65,C65)</f>
        <v>2</v>
      </c>
      <c r="O65" s="571">
        <f>+IF(OR($Q65=Parametres!$G$2,$Q65=Parametres!$G$3),J65,D65)</f>
        <v>0</v>
      </c>
      <c r="P65" s="152">
        <f>+IF(OR($Q65=Parametres!$G$2,$Q65=Parametres!$G$3),K65,E65)</f>
        <v>2</v>
      </c>
      <c r="Q65" s="151" t="str">
        <f t="shared" si="5"/>
        <v>1-Mémo</v>
      </c>
      <c r="R65" s="150" t="str">
        <f t="shared" si="5"/>
        <v>50</v>
      </c>
      <c r="S65" s="151">
        <f t="shared" si="5"/>
        <v>0</v>
      </c>
      <c r="T65" s="153">
        <f>+VLOOKUP($L65,Data_Validation!$A:$D,1,0)</f>
        <v>524</v>
      </c>
      <c r="U65" s="153">
        <f>+VLOOKUP($L65,Data_Validation!$A:$D,3,0)</f>
        <v>0</v>
      </c>
      <c r="V65" s="153">
        <f>+VLOOKUP($L65,Data_Validation!$A:$D,4,0)</f>
        <v>0</v>
      </c>
      <c r="W65" s="153" t="str">
        <f>+VLOOKUP($L65,Data_Validation!$A:$E,5,0)</f>
        <v>$</v>
      </c>
      <c r="X65" s="153">
        <f>+VLOOKUP($L65,Data_Validation!$A:$F,6,0)</f>
        <v>0</v>
      </c>
    </row>
    <row r="66" spans="1:24" ht="15" customHeight="1">
      <c r="A66" s="1430" t="s">
        <v>2334</v>
      </c>
      <c r="B66" s="1433">
        <v>527</v>
      </c>
      <c r="C66" s="1431"/>
      <c r="D66" s="1431"/>
      <c r="E66" s="1431"/>
      <c r="F66" s="1430" t="s">
        <v>1</v>
      </c>
      <c r="G66" s="1430" t="s">
        <v>2208</v>
      </c>
      <c r="H66" s="1431"/>
      <c r="I66" s="1432">
        <v>1</v>
      </c>
      <c r="J66" s="1432">
        <v>0</v>
      </c>
      <c r="K66" s="1432">
        <v>1</v>
      </c>
      <c r="L66" s="150">
        <f t="shared" si="0"/>
        <v>527</v>
      </c>
      <c r="M66" s="151" t="str">
        <f t="shared" si="1"/>
        <v>DIR. SERVICE PIECES</v>
      </c>
      <c r="N66" s="152">
        <f>+IF(OR($Q66=Parametres!$G$2,$Q66=Parametres!$G$3),I66,C66)</f>
        <v>1</v>
      </c>
      <c r="O66" s="152">
        <f>+IF(OR($Q66=Parametres!$G$2,$Q66=Parametres!$G$3),J66,D66)</f>
        <v>0</v>
      </c>
      <c r="P66" s="152">
        <f>+IF(OR($Q66=Parametres!$G$2,$Q66=Parametres!$G$3),K66,E66)</f>
        <v>1</v>
      </c>
      <c r="Q66" s="151" t="str">
        <f t="shared" ref="Q66:S81" si="6">+F66</f>
        <v>1-Mémo</v>
      </c>
      <c r="R66" s="150" t="str">
        <f t="shared" si="6"/>
        <v>50</v>
      </c>
      <c r="S66" s="151">
        <f t="shared" si="6"/>
        <v>0</v>
      </c>
      <c r="T66" s="153">
        <f>+VLOOKUP($L66,Data_Validation!$A:$D,1,0)</f>
        <v>527</v>
      </c>
      <c r="U66" s="153">
        <f>+VLOOKUP($L66,Data_Validation!$A:$D,3,0)</f>
        <v>0</v>
      </c>
      <c r="V66" s="153">
        <f>+VLOOKUP($L66,Data_Validation!$A:$D,4,0)</f>
        <v>0</v>
      </c>
      <c r="W66" s="153" t="str">
        <f>+VLOOKUP($L66,Data_Validation!$A:$E,5,0)</f>
        <v>$</v>
      </c>
      <c r="X66" s="153">
        <f>+VLOOKUP($L66,Data_Validation!$A:$F,6,0)</f>
        <v>0</v>
      </c>
    </row>
    <row r="67" spans="1:24" ht="15" customHeight="1">
      <c r="A67" s="1430" t="s">
        <v>2336</v>
      </c>
      <c r="B67" s="1433">
        <v>541</v>
      </c>
      <c r="C67" s="1431"/>
      <c r="D67" s="1431"/>
      <c r="E67" s="1431"/>
      <c r="F67" s="1430" t="s">
        <v>1</v>
      </c>
      <c r="G67" s="1430" t="s">
        <v>2338</v>
      </c>
      <c r="H67" s="1431"/>
      <c r="I67" s="1432">
        <v>4</v>
      </c>
      <c r="J67" s="1432">
        <v>0</v>
      </c>
      <c r="K67" s="1432">
        <v>4</v>
      </c>
      <c r="L67" s="150">
        <f t="shared" si="0"/>
        <v>541</v>
      </c>
      <c r="M67" s="151" t="str">
        <f t="shared" si="1"/>
        <v>VW REP. DES VENTES - NEUF</v>
      </c>
      <c r="N67" s="152">
        <f>+IF(OR($Q67=Parametres!$G$2,$Q67=Parametres!$G$3),I67,C67)</f>
        <v>4</v>
      </c>
      <c r="O67" s="569">
        <f>+IF(OR($Q67=Parametres!$G$2,$Q67=Parametres!$G$3),J67,D67)</f>
        <v>0</v>
      </c>
      <c r="P67" s="152">
        <f>+IF(OR($Q67=Parametres!$G$2,$Q67=Parametres!$G$3),K67,E67)</f>
        <v>4</v>
      </c>
      <c r="Q67" s="151" t="str">
        <f t="shared" si="6"/>
        <v>1-Mémo</v>
      </c>
      <c r="R67" s="150" t="str">
        <f t="shared" si="6"/>
        <v>54</v>
      </c>
      <c r="S67" s="151">
        <f t="shared" si="6"/>
        <v>0</v>
      </c>
      <c r="T67" s="153">
        <f>+VLOOKUP($L67,Data_Validation!$A:$D,1,0)</f>
        <v>541</v>
      </c>
      <c r="U67" s="153">
        <f>+VLOOKUP($L67,Data_Validation!$A:$D,3,0)</f>
        <v>0</v>
      </c>
      <c r="V67" s="153">
        <f>+VLOOKUP($L67,Data_Validation!$A:$D,4,0)</f>
        <v>0</v>
      </c>
      <c r="W67" s="153" t="str">
        <f>+VLOOKUP($L67,Data_Validation!$A:$E,5,0)</f>
        <v>$</v>
      </c>
      <c r="X67" s="153">
        <f>+VLOOKUP($L67,Data_Validation!$A:$F,6,0)</f>
        <v>0</v>
      </c>
    </row>
    <row r="68" spans="1:24" ht="15" customHeight="1">
      <c r="A68" s="1430" t="s">
        <v>2339</v>
      </c>
      <c r="B68" s="1433">
        <v>542</v>
      </c>
      <c r="C68" s="1431"/>
      <c r="D68" s="1431"/>
      <c r="E68" s="1431"/>
      <c r="F68" s="1430" t="s">
        <v>1</v>
      </c>
      <c r="G68" s="1430" t="s">
        <v>2208</v>
      </c>
      <c r="H68" s="1431"/>
      <c r="I68" s="1432">
        <v>1</v>
      </c>
      <c r="J68" s="1432">
        <v>0</v>
      </c>
      <c r="K68" s="1432">
        <v>1</v>
      </c>
      <c r="L68" s="150">
        <f t="shared" si="0"/>
        <v>542</v>
      </c>
      <c r="M68" s="151" t="str">
        <f t="shared" si="1"/>
        <v>VW REP. DES VENTES - OCC.</v>
      </c>
      <c r="N68" s="152">
        <f>+IF(OR($Q68=Parametres!$G$2,$Q68=Parametres!$G$3),I68,C68)</f>
        <v>1</v>
      </c>
      <c r="O68" s="152">
        <f>+IF(OR($Q68=Parametres!$G$2,$Q68=Parametres!$G$3),J68,D68)</f>
        <v>0</v>
      </c>
      <c r="P68" s="152">
        <f>+IF(OR($Q68=Parametres!$G$2,$Q68=Parametres!$G$3),K68,E68)</f>
        <v>1</v>
      </c>
      <c r="Q68" s="151" t="str">
        <f t="shared" si="6"/>
        <v>1-Mémo</v>
      </c>
      <c r="R68" s="150" t="str">
        <f t="shared" si="6"/>
        <v>50</v>
      </c>
      <c r="S68" s="151">
        <f t="shared" si="6"/>
        <v>0</v>
      </c>
      <c r="T68" s="153">
        <f>+VLOOKUP($L68,Data_Validation!$A:$D,1,0)</f>
        <v>542</v>
      </c>
      <c r="U68" s="153">
        <f>+VLOOKUP($L68,Data_Validation!$A:$D,3,0)</f>
        <v>0</v>
      </c>
      <c r="V68" s="153">
        <f>+VLOOKUP($L68,Data_Validation!$A:$D,4,0)</f>
        <v>0</v>
      </c>
      <c r="W68" s="153" t="str">
        <f>+VLOOKUP($L68,Data_Validation!$A:$E,5,0)</f>
        <v>$</v>
      </c>
      <c r="X68" s="153">
        <f>+VLOOKUP($L68,Data_Validation!$A:$F,6,0)</f>
        <v>0</v>
      </c>
    </row>
    <row r="69" spans="1:24" ht="15" customHeight="1">
      <c r="A69" s="1430" t="s">
        <v>2341</v>
      </c>
      <c r="B69" s="1433">
        <v>551</v>
      </c>
      <c r="C69" s="1431"/>
      <c r="D69" s="1431"/>
      <c r="E69" s="1431"/>
      <c r="F69" s="1430" t="s">
        <v>1</v>
      </c>
      <c r="G69" s="1430" t="s">
        <v>2208</v>
      </c>
      <c r="H69" s="1431"/>
      <c r="I69" s="1432">
        <v>3</v>
      </c>
      <c r="J69" s="1432">
        <v>0</v>
      </c>
      <c r="K69" s="1432">
        <v>3</v>
      </c>
      <c r="L69" s="150">
        <f t="shared" si="0"/>
        <v>551</v>
      </c>
      <c r="M69" s="151" t="str">
        <f t="shared" si="1"/>
        <v>DIR. COMMERCIAL NEUFS</v>
      </c>
      <c r="N69" s="152">
        <f>+IF(OR($Q69=Parametres!$G$2,$Q69=Parametres!$G$3),I69,C69)</f>
        <v>3</v>
      </c>
      <c r="O69" s="152">
        <f>+IF(OR($Q69=Parametres!$G$2,$Q69=Parametres!$G$3),J69,D69)</f>
        <v>0</v>
      </c>
      <c r="P69" s="152">
        <f>+IF(OR($Q69=Parametres!$G$2,$Q69=Parametres!$G$3),K69,E69)</f>
        <v>3</v>
      </c>
      <c r="Q69" s="151" t="str">
        <f t="shared" si="6"/>
        <v>1-Mémo</v>
      </c>
      <c r="R69" s="150" t="str">
        <f t="shared" si="6"/>
        <v>50</v>
      </c>
      <c r="S69" s="151">
        <f t="shared" si="6"/>
        <v>0</v>
      </c>
      <c r="T69" s="153">
        <f>+VLOOKUP($L69,Data_Validation!$A:$D,1,0)</f>
        <v>551</v>
      </c>
      <c r="U69" s="153">
        <f>+VLOOKUP($L69,Data_Validation!$A:$D,3,0)</f>
        <v>0</v>
      </c>
      <c r="V69" s="153">
        <f>+VLOOKUP($L69,Data_Validation!$A:$D,4,0)</f>
        <v>0</v>
      </c>
      <c r="W69" s="153" t="str">
        <f>+VLOOKUP($L69,Data_Validation!$A:$E,5,0)</f>
        <v>$</v>
      </c>
      <c r="X69" s="153">
        <f>+VLOOKUP($L69,Data_Validation!$A:$F,6,0)</f>
        <v>0</v>
      </c>
    </row>
    <row r="70" spans="1:24" ht="15" customHeight="1">
      <c r="A70" s="1430" t="s">
        <v>2343</v>
      </c>
      <c r="B70" s="1433">
        <v>552</v>
      </c>
      <c r="C70" s="1431"/>
      <c r="D70" s="1431"/>
      <c r="E70" s="1431"/>
      <c r="F70" s="1430" t="s">
        <v>1</v>
      </c>
      <c r="G70" s="1430" t="s">
        <v>2208</v>
      </c>
      <c r="H70" s="1431"/>
      <c r="I70" s="1432">
        <v>2</v>
      </c>
      <c r="J70" s="1432">
        <v>0</v>
      </c>
      <c r="K70" s="1432">
        <v>2</v>
      </c>
      <c r="L70" s="150">
        <f t="shared" si="0"/>
        <v>552</v>
      </c>
      <c r="M70" s="151" t="str">
        <f t="shared" si="1"/>
        <v>DIR. COMMERCIAL USAGES</v>
      </c>
      <c r="N70" s="152">
        <f>+IF(OR($Q70=Parametres!$G$2,$Q70=Parametres!$G$3),I70,C70)</f>
        <v>2</v>
      </c>
      <c r="O70" s="152">
        <f>+IF(OR($Q70=Parametres!$G$2,$Q70=Parametres!$G$3),J70,D70)</f>
        <v>0</v>
      </c>
      <c r="P70" s="152">
        <f>+IF(OR($Q70=Parametres!$G$2,$Q70=Parametres!$G$3),K70,E70)</f>
        <v>2</v>
      </c>
      <c r="Q70" s="151" t="str">
        <f t="shared" si="6"/>
        <v>1-Mémo</v>
      </c>
      <c r="R70" s="150" t="str">
        <f t="shared" si="6"/>
        <v>50</v>
      </c>
      <c r="S70" s="151">
        <f t="shared" si="6"/>
        <v>0</v>
      </c>
      <c r="T70" s="153">
        <f>+VLOOKUP($L70,Data_Validation!$A:$D,1,0)</f>
        <v>552</v>
      </c>
      <c r="U70" s="153">
        <f>+VLOOKUP($L70,Data_Validation!$A:$D,3,0)</f>
        <v>0</v>
      </c>
      <c r="V70" s="153">
        <f>+VLOOKUP($L70,Data_Validation!$A:$D,4,0)</f>
        <v>0</v>
      </c>
      <c r="W70" s="153" t="str">
        <f>+VLOOKUP($L70,Data_Validation!$A:$E,5,0)</f>
        <v>$</v>
      </c>
      <c r="X70" s="153">
        <f>+VLOOKUP($L70,Data_Validation!$A:$F,6,0)</f>
        <v>0</v>
      </c>
    </row>
    <row r="71" spans="1:24" ht="15" customHeight="1">
      <c r="A71" s="1430" t="s">
        <v>2855</v>
      </c>
      <c r="B71" s="1433">
        <v>564</v>
      </c>
      <c r="C71" s="1431"/>
      <c r="D71" s="1431"/>
      <c r="E71" s="1431"/>
      <c r="F71" s="1430" t="s">
        <v>1</v>
      </c>
      <c r="G71" s="1430" t="s">
        <v>2208</v>
      </c>
      <c r="H71" s="1431"/>
      <c r="I71" s="1432">
        <v>1</v>
      </c>
      <c r="J71" s="1432">
        <v>0</v>
      </c>
      <c r="K71" s="1432">
        <v>1</v>
      </c>
      <c r="L71" s="150">
        <f t="shared" si="0"/>
        <v>564</v>
      </c>
      <c r="M71" s="151" t="str">
        <f t="shared" si="1"/>
        <v>CONTREMAITRE SERVICE</v>
      </c>
      <c r="N71" s="152">
        <f>+IF(OR($Q71=Parametres!$G$2,$Q71=Parametres!$G$3),I71,C71)</f>
        <v>1</v>
      </c>
      <c r="O71" s="569">
        <f>+IF(OR($Q71=Parametres!$G$2,$Q71=Parametres!$G$3),J71,D71)</f>
        <v>0</v>
      </c>
      <c r="P71" s="152">
        <f>+IF(OR($Q71=Parametres!$G$2,$Q71=Parametres!$G$3),K71,E71)</f>
        <v>1</v>
      </c>
      <c r="Q71" s="151" t="str">
        <f t="shared" si="6"/>
        <v>1-Mémo</v>
      </c>
      <c r="R71" s="150" t="str">
        <f t="shared" si="6"/>
        <v>50</v>
      </c>
      <c r="S71" s="151">
        <f t="shared" si="6"/>
        <v>0</v>
      </c>
      <c r="T71" s="153">
        <f>+VLOOKUP($L71,Data_Validation!$A:$D,1,0)</f>
        <v>564</v>
      </c>
      <c r="U71" s="153">
        <f>+VLOOKUP($L71,Data_Validation!$A:$D,3,0)</f>
        <v>0</v>
      </c>
      <c r="V71" s="153">
        <f>+VLOOKUP($L71,Data_Validation!$A:$D,4,0)</f>
        <v>0</v>
      </c>
      <c r="W71" s="153" t="str">
        <f>+VLOOKUP($L71,Data_Validation!$A:$E,5,0)</f>
        <v>$</v>
      </c>
      <c r="X71" s="153">
        <f>+VLOOKUP($L71,Data_Validation!$A:$F,6,0)</f>
        <v>0</v>
      </c>
    </row>
    <row r="72" spans="1:24" ht="15" customHeight="1">
      <c r="A72" s="1430" t="s">
        <v>2345</v>
      </c>
      <c r="B72" s="1433">
        <v>614</v>
      </c>
      <c r="C72" s="1431"/>
      <c r="D72" s="1431"/>
      <c r="E72" s="1431"/>
      <c r="F72" s="1430" t="s">
        <v>1</v>
      </c>
      <c r="G72" s="1430" t="s">
        <v>2347</v>
      </c>
      <c r="H72" s="1431"/>
      <c r="I72" s="1432">
        <v>4</v>
      </c>
      <c r="J72" s="1432">
        <v>0</v>
      </c>
      <c r="K72" s="1432">
        <v>4</v>
      </c>
      <c r="L72" s="150">
        <f t="shared" si="0"/>
        <v>614</v>
      </c>
      <c r="M72" s="151" t="str">
        <f t="shared" si="1"/>
        <v>VW CONSEILLERS SERVICE -SERVICE</v>
      </c>
      <c r="N72" s="152">
        <f>+IF(OR($Q72=Parametres!$G$2,$Q72=Parametres!$G$3),I72,C72)</f>
        <v>4</v>
      </c>
      <c r="O72" s="152">
        <f>+IF(OR($Q72=Parametres!$G$2,$Q72=Parametres!$G$3),J72,D72)</f>
        <v>0</v>
      </c>
      <c r="P72" s="152">
        <f>+IF(OR($Q72=Parametres!$G$2,$Q72=Parametres!$G$3),K72,E72)</f>
        <v>4</v>
      </c>
      <c r="Q72" s="151" t="str">
        <f t="shared" si="6"/>
        <v>1-Mémo</v>
      </c>
      <c r="R72" s="150" t="str">
        <f t="shared" si="6"/>
        <v>61</v>
      </c>
      <c r="S72" s="151">
        <f t="shared" si="6"/>
        <v>0</v>
      </c>
      <c r="T72" s="153">
        <f>+VLOOKUP($L72,Data_Validation!$A:$D,1,0)</f>
        <v>614</v>
      </c>
      <c r="U72" s="153">
        <f>+VLOOKUP($L72,Data_Validation!$A:$D,3,0)</f>
        <v>0</v>
      </c>
      <c r="V72" s="153">
        <f>+VLOOKUP($L72,Data_Validation!$A:$D,4,0)</f>
        <v>0</v>
      </c>
      <c r="W72" s="153" t="str">
        <f>+VLOOKUP($L72,Data_Validation!$A:$E,5,0)</f>
        <v>$</v>
      </c>
      <c r="X72" s="153">
        <f>+VLOOKUP($L72,Data_Validation!$A:$F,6,0)</f>
        <v>0</v>
      </c>
    </row>
    <row r="73" spans="1:24" ht="15" customHeight="1">
      <c r="A73" s="1430" t="s">
        <v>2348</v>
      </c>
      <c r="B73" s="1433">
        <v>615</v>
      </c>
      <c r="C73" s="1431"/>
      <c r="D73" s="1431"/>
      <c r="E73" s="1431"/>
      <c r="F73" s="1430" t="s">
        <v>1</v>
      </c>
      <c r="G73" s="1430" t="s">
        <v>2347</v>
      </c>
      <c r="H73" s="1431"/>
      <c r="I73" s="1432">
        <v>1</v>
      </c>
      <c r="J73" s="1432">
        <v>0</v>
      </c>
      <c r="K73" s="1432">
        <v>1</v>
      </c>
      <c r="L73" s="150">
        <f t="shared" si="0"/>
        <v>615</v>
      </c>
      <c r="M73" s="151" t="str">
        <f t="shared" si="1"/>
        <v>VW CONSEILLERS SERVICE - PIEC. &amp; CARR.&lt;</v>
      </c>
      <c r="N73" s="152">
        <f>+IF(OR($Q73=Parametres!$G$2,$Q73=Parametres!$G$3),I73,C73)</f>
        <v>1</v>
      </c>
      <c r="O73" s="152">
        <f>+IF(OR($Q73=Parametres!$G$2,$Q73=Parametres!$G$3),J73,D73)</f>
        <v>0</v>
      </c>
      <c r="P73" s="152">
        <f>+IF(OR($Q73=Parametres!$G$2,$Q73=Parametres!$G$3),K73,E73)</f>
        <v>1</v>
      </c>
      <c r="Q73" s="151" t="str">
        <f t="shared" si="6"/>
        <v>1-Mémo</v>
      </c>
      <c r="R73" s="150" t="str">
        <f t="shared" si="6"/>
        <v>61</v>
      </c>
      <c r="S73" s="151">
        <f t="shared" si="6"/>
        <v>0</v>
      </c>
      <c r="T73" s="153">
        <f>+VLOOKUP($L73,Data_Validation!$A:$D,1,0)</f>
        <v>615</v>
      </c>
      <c r="U73" s="153">
        <f>+VLOOKUP($L73,Data_Validation!$A:$D,3,0)</f>
        <v>0</v>
      </c>
      <c r="V73" s="153">
        <f>+VLOOKUP($L73,Data_Validation!$A:$D,4,0)</f>
        <v>0</v>
      </c>
      <c r="W73" s="153" t="str">
        <f>+VLOOKUP($L73,Data_Validation!$A:$E,5,0)</f>
        <v>$</v>
      </c>
      <c r="X73" s="153">
        <f>+VLOOKUP($L73,Data_Validation!$A:$F,6,0)</f>
        <v>0</v>
      </c>
    </row>
    <row r="74" spans="1:24" ht="15" customHeight="1">
      <c r="A74" s="1430" t="s">
        <v>2350</v>
      </c>
      <c r="B74" s="1433">
        <v>621</v>
      </c>
      <c r="C74" s="1431"/>
      <c r="D74" s="1431"/>
      <c r="E74" s="1431"/>
      <c r="F74" s="1430" t="s">
        <v>1</v>
      </c>
      <c r="G74" s="1430" t="s">
        <v>2208</v>
      </c>
      <c r="H74" s="1431"/>
      <c r="I74" s="1432">
        <v>1</v>
      </c>
      <c r="J74" s="1432">
        <v>0</v>
      </c>
      <c r="K74" s="1432">
        <v>1</v>
      </c>
      <c r="L74" s="150">
        <f t="shared" si="0"/>
        <v>621</v>
      </c>
      <c r="M74" s="151" t="str">
        <f t="shared" si="1"/>
        <v>LAVEURS NEUFS</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621</v>
      </c>
      <c r="U74" s="153">
        <f>+VLOOKUP($L74,Data_Validation!$A:$D,3,0)</f>
        <v>0</v>
      </c>
      <c r="V74" s="153">
        <f>+VLOOKUP($L74,Data_Validation!$A:$D,4,0)</f>
        <v>0</v>
      </c>
      <c r="W74" s="153" t="str">
        <f>+VLOOKUP($L74,Data_Validation!$A:$E,5,0)</f>
        <v>$</v>
      </c>
      <c r="X74" s="153">
        <f>+VLOOKUP($L74,Data_Validation!$A:$F,6,0)</f>
        <v>0</v>
      </c>
    </row>
    <row r="75" spans="1:24" ht="15" customHeight="1">
      <c r="A75" s="1430" t="s">
        <v>2352</v>
      </c>
      <c r="B75" s="1433">
        <v>622</v>
      </c>
      <c r="C75" s="1431"/>
      <c r="D75" s="1431"/>
      <c r="E75" s="1431"/>
      <c r="F75" s="1430" t="s">
        <v>1</v>
      </c>
      <c r="G75" s="1430" t="s">
        <v>2208</v>
      </c>
      <c r="H75" s="1431"/>
      <c r="I75" s="1432">
        <v>1</v>
      </c>
      <c r="J75" s="1432">
        <v>0</v>
      </c>
      <c r="K75" s="1432">
        <v>1</v>
      </c>
      <c r="L75" s="150">
        <f t="shared" si="0"/>
        <v>622</v>
      </c>
      <c r="M75" s="151" t="str">
        <f t="shared" si="1"/>
        <v>LAVEURS USAGES</v>
      </c>
      <c r="N75" s="152">
        <f>+IF(OR($Q75=Parametres!$G$2,$Q75=Parametres!$G$3),I75,C75)</f>
        <v>1</v>
      </c>
      <c r="O75" s="152">
        <f>+IF(OR($Q75=Parametres!$G$2,$Q75=Parametres!$G$3),J75,D75)</f>
        <v>0</v>
      </c>
      <c r="P75" s="152">
        <f>+IF(OR($Q75=Parametres!$G$2,$Q75=Parametres!$G$3),K75,E75)</f>
        <v>1</v>
      </c>
      <c r="Q75" s="151" t="str">
        <f t="shared" si="6"/>
        <v>1-Mémo</v>
      </c>
      <c r="R75" s="150" t="str">
        <f t="shared" si="6"/>
        <v>50</v>
      </c>
      <c r="S75" s="151">
        <f t="shared" si="6"/>
        <v>0</v>
      </c>
      <c r="T75" s="153">
        <f>+VLOOKUP($L75,Data_Validation!$A:$D,1,0)</f>
        <v>622</v>
      </c>
      <c r="U75" s="153">
        <f>+VLOOKUP($L75,Data_Validation!$A:$D,3,0)</f>
        <v>0</v>
      </c>
      <c r="V75" s="153">
        <f>+VLOOKUP($L75,Data_Validation!$A:$D,4,0)</f>
        <v>0</v>
      </c>
      <c r="W75" s="153" t="str">
        <f>+VLOOKUP($L75,Data_Validation!$A:$E,5,0)</f>
        <v>$</v>
      </c>
      <c r="X75" s="153">
        <f>+VLOOKUP($L75,Data_Validation!$A:$F,6,0)</f>
        <v>0</v>
      </c>
    </row>
    <row r="76" spans="1:24" ht="15" customHeight="1">
      <c r="A76" s="1430" t="s">
        <v>2354</v>
      </c>
      <c r="B76" s="1433">
        <v>624</v>
      </c>
      <c r="C76" s="1431"/>
      <c r="D76" s="1431"/>
      <c r="E76" s="1431"/>
      <c r="F76" s="1430" t="s">
        <v>1</v>
      </c>
      <c r="G76" s="1430" t="s">
        <v>2208</v>
      </c>
      <c r="H76" s="1431"/>
      <c r="I76" s="1432">
        <v>9</v>
      </c>
      <c r="J76" s="1432">
        <v>0</v>
      </c>
      <c r="K76" s="1432">
        <v>9</v>
      </c>
      <c r="L76" s="150">
        <f t="shared" si="0"/>
        <v>624</v>
      </c>
      <c r="M76" s="151" t="str">
        <f t="shared" si="1"/>
        <v>LAVEURS SERVICE</v>
      </c>
      <c r="N76" s="152">
        <f>+IF(OR($Q76=Parametres!$G$2,$Q76=Parametres!$G$3),I76,C76)</f>
        <v>9</v>
      </c>
      <c r="O76" s="152">
        <f>+IF(OR($Q76=Parametres!$G$2,$Q76=Parametres!$G$3),J76,D76)</f>
        <v>0</v>
      </c>
      <c r="P76" s="152">
        <f>+IF(OR($Q76=Parametres!$G$2,$Q76=Parametres!$G$3),K76,E76)</f>
        <v>9</v>
      </c>
      <c r="Q76" s="151" t="str">
        <f t="shared" si="6"/>
        <v>1-Mémo</v>
      </c>
      <c r="R76" s="150" t="str">
        <f t="shared" si="6"/>
        <v>50</v>
      </c>
      <c r="S76" s="151">
        <f t="shared" si="6"/>
        <v>0</v>
      </c>
      <c r="T76" s="153">
        <f>+VLOOKUP($L76,Data_Validation!$A:$D,1,0)</f>
        <v>624</v>
      </c>
      <c r="U76" s="153">
        <f>+VLOOKUP($L76,Data_Validation!$A:$D,3,0)</f>
        <v>0</v>
      </c>
      <c r="V76" s="153">
        <f>+VLOOKUP($L76,Data_Validation!$A:$D,4,0)</f>
        <v>0</v>
      </c>
      <c r="W76" s="153" t="str">
        <f>+VLOOKUP($L76,Data_Validation!$A:$E,5,0)</f>
        <v>$</v>
      </c>
      <c r="X76" s="153">
        <f>+VLOOKUP($L76,Data_Validation!$A:$F,6,0)</f>
        <v>0</v>
      </c>
    </row>
    <row r="77" spans="1:24" ht="15" customHeight="1">
      <c r="A77" s="1430" t="s">
        <v>2356</v>
      </c>
      <c r="B77" s="1433">
        <v>644</v>
      </c>
      <c r="C77" s="1431"/>
      <c r="D77" s="1431"/>
      <c r="E77" s="1431"/>
      <c r="F77" s="1430" t="s">
        <v>1</v>
      </c>
      <c r="G77" s="1430" t="s">
        <v>2358</v>
      </c>
      <c r="H77" s="1431"/>
      <c r="I77" s="1432">
        <v>12</v>
      </c>
      <c r="J77" s="1432">
        <v>0</v>
      </c>
      <c r="K77" s="1432">
        <v>12</v>
      </c>
      <c r="L77" s="150">
        <f t="shared" si="0"/>
        <v>644</v>
      </c>
      <c r="M77" s="151" t="str">
        <f t="shared" si="1"/>
        <v>VW TECHNICIENS - SERVICE</v>
      </c>
      <c r="N77" s="152">
        <f>+IF(OR($Q77=Parametres!$G$2,$Q77=Parametres!$G$3),I77,C77)</f>
        <v>12</v>
      </c>
      <c r="O77" s="152">
        <f>+IF(OR($Q77=Parametres!$G$2,$Q77=Parametres!$G$3),J77,D77)</f>
        <v>0</v>
      </c>
      <c r="P77" s="152">
        <f>+IF(OR($Q77=Parametres!$G$2,$Q77=Parametres!$G$3),K77,E77)</f>
        <v>12</v>
      </c>
      <c r="Q77" s="151" t="str">
        <f t="shared" si="6"/>
        <v>1-Mémo</v>
      </c>
      <c r="R77" s="150" t="str">
        <f t="shared" si="6"/>
        <v>64</v>
      </c>
      <c r="S77" s="151">
        <f t="shared" si="6"/>
        <v>0</v>
      </c>
      <c r="T77" s="153">
        <f>+VLOOKUP($L77,Data_Validation!$A:$D,1,0)</f>
        <v>644</v>
      </c>
      <c r="U77" s="153">
        <f>+VLOOKUP($L77,Data_Validation!$A:$D,3,0)</f>
        <v>0</v>
      </c>
      <c r="V77" s="153">
        <f>+VLOOKUP($L77,Data_Validation!$A:$D,4,0)</f>
        <v>0</v>
      </c>
      <c r="W77" s="153" t="str">
        <f>+VLOOKUP($L77,Data_Validation!$A:$E,5,0)</f>
        <v>$</v>
      </c>
      <c r="X77" s="153">
        <f>+VLOOKUP($L77,Data_Validation!$A:$F,6,0)</f>
        <v>0</v>
      </c>
    </row>
    <row r="78" spans="1:24" ht="15" customHeight="1">
      <c r="A78" s="1430" t="s">
        <v>2359</v>
      </c>
      <c r="B78" s="1433">
        <v>651</v>
      </c>
      <c r="C78" s="1431"/>
      <c r="D78" s="1431"/>
      <c r="E78" s="1431"/>
      <c r="F78" s="1430" t="s">
        <v>1</v>
      </c>
      <c r="G78" s="1430" t="s">
        <v>2208</v>
      </c>
      <c r="H78" s="1431"/>
      <c r="I78" s="1432">
        <v>0.2</v>
      </c>
      <c r="J78" s="1432">
        <v>0</v>
      </c>
      <c r="K78" s="1432">
        <v>0.2</v>
      </c>
      <c r="L78" s="150">
        <f t="shared" si="0"/>
        <v>651</v>
      </c>
      <c r="M78" s="151" t="str">
        <f t="shared" si="1"/>
        <v>DIR. ADMINIS. NEUFS</v>
      </c>
      <c r="N78" s="152">
        <f>+IF(OR($Q78=Parametres!$G$2,$Q78=Parametres!$G$3),I78,C78)</f>
        <v>0.2</v>
      </c>
      <c r="O78" s="569">
        <f>+IF(OR($Q78=Parametres!$G$2,$Q78=Parametres!$G$3),J78,D78)</f>
        <v>0</v>
      </c>
      <c r="P78" s="152">
        <f>+IF(OR($Q78=Parametres!$G$2,$Q78=Parametres!$G$3),K78,E78)</f>
        <v>0.2</v>
      </c>
      <c r="Q78" s="151" t="str">
        <f t="shared" si="6"/>
        <v>1-Mémo</v>
      </c>
      <c r="R78" s="150" t="str">
        <f t="shared" si="6"/>
        <v>50</v>
      </c>
      <c r="S78" s="151">
        <f t="shared" si="6"/>
        <v>0</v>
      </c>
      <c r="T78" s="153">
        <f>+VLOOKUP($L78,Data_Validation!$A:$D,1,0)</f>
        <v>651</v>
      </c>
      <c r="U78" s="153">
        <f>+VLOOKUP($L78,Data_Validation!$A:$D,3,0)</f>
        <v>0</v>
      </c>
      <c r="V78" s="153">
        <f>+VLOOKUP($L78,Data_Validation!$A:$D,4,0)</f>
        <v>0</v>
      </c>
      <c r="W78" s="153" t="str">
        <f>+VLOOKUP($L78,Data_Validation!$A:$E,5,0)</f>
        <v>$</v>
      </c>
      <c r="X78" s="153">
        <f>+VLOOKUP($L78,Data_Validation!$A:$F,6,0)</f>
        <v>0</v>
      </c>
    </row>
    <row r="79" spans="1:24" ht="15" customHeight="1">
      <c r="A79" s="1430" t="s">
        <v>2361</v>
      </c>
      <c r="B79" s="1433">
        <v>652</v>
      </c>
      <c r="C79" s="1431"/>
      <c r="D79" s="1431"/>
      <c r="E79" s="1431"/>
      <c r="F79" s="1430" t="s">
        <v>1</v>
      </c>
      <c r="G79" s="1430" t="s">
        <v>2208</v>
      </c>
      <c r="H79" s="1431"/>
      <c r="I79" s="1432">
        <v>0.2</v>
      </c>
      <c r="J79" s="1432">
        <v>0</v>
      </c>
      <c r="K79" s="1432">
        <v>0.2</v>
      </c>
      <c r="L79" s="150">
        <f t="shared" si="0"/>
        <v>652</v>
      </c>
      <c r="M79" s="151" t="str">
        <f t="shared" si="1"/>
        <v>DIR. ADMINIS. USAGES</v>
      </c>
      <c r="N79" s="152">
        <f>+IF(OR($Q79=Parametres!$G$2,$Q79=Parametres!$G$3),I79,C79)</f>
        <v>0.2</v>
      </c>
      <c r="O79" s="152">
        <f>+IF(OR($Q79=Parametres!$G$2,$Q79=Parametres!$G$3),J79,D79)</f>
        <v>0</v>
      </c>
      <c r="P79" s="152">
        <f>+IF(OR($Q79=Parametres!$G$2,$Q79=Parametres!$G$3),K79,E79)</f>
        <v>0.2</v>
      </c>
      <c r="Q79" s="151" t="str">
        <f t="shared" si="6"/>
        <v>1-Mémo</v>
      </c>
      <c r="R79" s="150" t="str">
        <f t="shared" si="6"/>
        <v>50</v>
      </c>
      <c r="S79" s="151">
        <f t="shared" si="6"/>
        <v>0</v>
      </c>
      <c r="T79" s="153">
        <f>+VLOOKUP($L79,Data_Validation!$A:$D,1,0)</f>
        <v>652</v>
      </c>
      <c r="U79" s="153">
        <f>+VLOOKUP($L79,Data_Validation!$A:$D,3,0)</f>
        <v>0</v>
      </c>
      <c r="V79" s="153">
        <f>+VLOOKUP($L79,Data_Validation!$A:$D,4,0)</f>
        <v>0</v>
      </c>
      <c r="W79" s="153" t="str">
        <f>+VLOOKUP($L79,Data_Validation!$A:$E,5,0)</f>
        <v>$</v>
      </c>
      <c r="X79" s="153">
        <f>+VLOOKUP($L79,Data_Validation!$A:$F,6,0)</f>
        <v>0</v>
      </c>
    </row>
    <row r="80" spans="1:24" ht="15.75" customHeight="1">
      <c r="A80" s="1430" t="s">
        <v>2363</v>
      </c>
      <c r="B80" s="1433">
        <v>654</v>
      </c>
      <c r="C80" s="1431"/>
      <c r="D80" s="1431"/>
      <c r="E80" s="1431"/>
      <c r="F80" s="1430" t="s">
        <v>1</v>
      </c>
      <c r="G80" s="1430" t="s">
        <v>2208</v>
      </c>
      <c r="H80" s="1431"/>
      <c r="I80" s="1432">
        <v>0.2</v>
      </c>
      <c r="J80" s="1432">
        <v>0</v>
      </c>
      <c r="K80" s="1432">
        <v>0.2</v>
      </c>
      <c r="L80" s="150">
        <f t="shared" si="0"/>
        <v>654</v>
      </c>
      <c r="M80" s="151" t="str">
        <f t="shared" si="1"/>
        <v>DIR. ADMINIS. SERVICE</v>
      </c>
      <c r="N80" s="152">
        <f>+IF(OR($Q80=Parametres!$G$2,$Q80=Parametres!$G$3),I80,C80)</f>
        <v>0.2</v>
      </c>
      <c r="O80" s="152">
        <f>+IF(OR($Q80=Parametres!$G$2,$Q80=Parametres!$G$3),J80,D80)</f>
        <v>0</v>
      </c>
      <c r="P80" s="152">
        <f>+IF(OR($Q80=Parametres!$G$2,$Q80=Parametres!$G$3),K80,E80)</f>
        <v>0.2</v>
      </c>
      <c r="Q80" s="151" t="str">
        <f t="shared" si="6"/>
        <v>1-Mémo</v>
      </c>
      <c r="R80" s="150" t="str">
        <f t="shared" si="6"/>
        <v>50</v>
      </c>
      <c r="S80" s="151">
        <f t="shared" si="6"/>
        <v>0</v>
      </c>
      <c r="T80" s="153">
        <f>+VLOOKUP($L80,Data_Validation!$A:$D,1,0)</f>
        <v>654</v>
      </c>
      <c r="U80" s="153">
        <f>+VLOOKUP($L80,Data_Validation!$A:$D,3,0)</f>
        <v>0</v>
      </c>
      <c r="V80" s="153">
        <f>+VLOOKUP($L80,Data_Validation!$A:$D,4,0)</f>
        <v>0</v>
      </c>
      <c r="W80" s="153" t="str">
        <f>+VLOOKUP($L80,Data_Validation!$A:$E,5,0)</f>
        <v>$</v>
      </c>
      <c r="X80" s="153">
        <f>+VLOOKUP($L80,Data_Validation!$A:$F,6,0)</f>
        <v>0</v>
      </c>
    </row>
    <row r="81" spans="1:24" ht="15" customHeight="1">
      <c r="A81" s="1430" t="s">
        <v>2365</v>
      </c>
      <c r="B81" s="1433">
        <v>655</v>
      </c>
      <c r="C81" s="1431"/>
      <c r="D81" s="1431"/>
      <c r="E81" s="1431"/>
      <c r="F81" s="1430" t="s">
        <v>1</v>
      </c>
      <c r="G81" s="1430" t="s">
        <v>2208</v>
      </c>
      <c r="H81" s="1431"/>
      <c r="I81" s="1432">
        <v>0.2</v>
      </c>
      <c r="J81" s="1432">
        <v>0</v>
      </c>
      <c r="K81" s="1432">
        <v>0.2</v>
      </c>
      <c r="L81" s="150">
        <f t="shared" si="0"/>
        <v>655</v>
      </c>
      <c r="M81" s="151" t="str">
        <f t="shared" si="1"/>
        <v>DIR. ADMINIS. CARROSS.</v>
      </c>
      <c r="N81" s="152">
        <f>+IF(OR($Q81=Parametres!$G$2,$Q81=Parametres!$G$3),I81,C81)</f>
        <v>0.2</v>
      </c>
      <c r="O81" s="152">
        <f>+IF(OR($Q81=Parametres!$G$2,$Q81=Parametres!$G$3),J81,D81)</f>
        <v>0</v>
      </c>
      <c r="P81" s="152">
        <f>+IF(OR($Q81=Parametres!$G$2,$Q81=Parametres!$G$3),K81,E81)</f>
        <v>0.2</v>
      </c>
      <c r="Q81" s="151" t="str">
        <f t="shared" si="6"/>
        <v>1-Mémo</v>
      </c>
      <c r="R81" s="150" t="str">
        <f t="shared" si="6"/>
        <v>50</v>
      </c>
      <c r="S81" s="151">
        <f t="shared" si="6"/>
        <v>0</v>
      </c>
      <c r="T81" s="153">
        <f>+VLOOKUP($L81,Data_Validation!$A:$D,1,0)</f>
        <v>655</v>
      </c>
      <c r="U81" s="153">
        <f>+VLOOKUP($L81,Data_Validation!$A:$D,3,0)</f>
        <v>0</v>
      </c>
      <c r="V81" s="153">
        <f>+VLOOKUP($L81,Data_Validation!$A:$D,4,0)</f>
        <v>0</v>
      </c>
      <c r="W81" s="153" t="str">
        <f>+VLOOKUP($L81,Data_Validation!$A:$E,5,0)</f>
        <v>$</v>
      </c>
      <c r="X81" s="153">
        <f>+VLOOKUP($L81,Data_Validation!$A:$F,6,0)</f>
        <v>0</v>
      </c>
    </row>
    <row r="82" spans="1:24" ht="15" customHeight="1">
      <c r="A82" s="1430" t="s">
        <v>2367</v>
      </c>
      <c r="B82" s="1433">
        <v>657</v>
      </c>
      <c r="C82" s="1431"/>
      <c r="D82" s="1431"/>
      <c r="E82" s="1431"/>
      <c r="F82" s="1430" t="s">
        <v>1</v>
      </c>
      <c r="G82" s="1430" t="s">
        <v>2208</v>
      </c>
      <c r="H82" s="1431"/>
      <c r="I82" s="1432">
        <v>0.2</v>
      </c>
      <c r="J82" s="1432">
        <v>0</v>
      </c>
      <c r="K82" s="1432">
        <v>0.2</v>
      </c>
      <c r="L82" s="150">
        <f t="shared" si="0"/>
        <v>657</v>
      </c>
      <c r="M82" s="151" t="str">
        <f t="shared" si="1"/>
        <v>DIR. ADMINIS. PIECES</v>
      </c>
      <c r="N82" s="152">
        <f>+IF(OR($Q82=Parametres!$G$2,$Q82=Parametres!$G$3),I82,C82)</f>
        <v>0.2</v>
      </c>
      <c r="O82" s="152">
        <f>+IF(OR($Q82=Parametres!$G$2,$Q82=Parametres!$G$3),J82,D82)</f>
        <v>0</v>
      </c>
      <c r="P82" s="152">
        <f>+IF(OR($Q82=Parametres!$G$2,$Q82=Parametres!$G$3),K82,E82)</f>
        <v>0.2</v>
      </c>
      <c r="Q82" s="151" t="str">
        <f t="shared" ref="Q82:S97" si="7">+F82</f>
        <v>1-Mémo</v>
      </c>
      <c r="R82" s="150" t="str">
        <f t="shared" si="7"/>
        <v>50</v>
      </c>
      <c r="S82" s="151">
        <f t="shared" si="7"/>
        <v>0</v>
      </c>
      <c r="T82" s="153">
        <f>+VLOOKUP($L82,Data_Validation!$A:$D,1,0)</f>
        <v>657</v>
      </c>
      <c r="U82" s="153">
        <f>+VLOOKUP($L82,Data_Validation!$A:$D,3,0)</f>
        <v>0</v>
      </c>
      <c r="V82" s="153">
        <f>+VLOOKUP($L82,Data_Validation!$A:$D,4,0)</f>
        <v>0</v>
      </c>
      <c r="W82" s="153" t="str">
        <f>+VLOOKUP($L82,Data_Validation!$A:$E,5,0)</f>
        <v>$</v>
      </c>
      <c r="X82" s="153">
        <f>+VLOOKUP($L82,Data_Validation!$A:$F,6,0)</f>
        <v>0</v>
      </c>
    </row>
    <row r="83" spans="1:24" ht="15" customHeight="1">
      <c r="A83" s="1430" t="s">
        <v>2369</v>
      </c>
      <c r="B83" s="1433">
        <v>661</v>
      </c>
      <c r="C83" s="1431"/>
      <c r="D83" s="1431"/>
      <c r="E83" s="1431"/>
      <c r="F83" s="1430" t="s">
        <v>1</v>
      </c>
      <c r="G83" s="1430" t="s">
        <v>2208</v>
      </c>
      <c r="H83" s="1431"/>
      <c r="I83" s="1432">
        <v>1</v>
      </c>
      <c r="J83" s="1432">
        <v>0</v>
      </c>
      <c r="K83" s="1432">
        <v>1</v>
      </c>
      <c r="L83" s="150">
        <f t="shared" si="0"/>
        <v>661</v>
      </c>
      <c r="M83" s="151" t="str">
        <f t="shared" si="1"/>
        <v>PERSONELS CLER. NEUFS</v>
      </c>
      <c r="N83" s="152">
        <f>+IF(OR($Q83=Parametres!$G$2,$Q83=Parametres!$G$3),I83,C83)</f>
        <v>1</v>
      </c>
      <c r="O83" s="152">
        <f>+IF(OR($Q83=Parametres!$G$2,$Q83=Parametres!$G$3),J83,D83)</f>
        <v>0</v>
      </c>
      <c r="P83" s="152">
        <f>+IF(OR($Q83=Parametres!$G$2,$Q83=Parametres!$G$3),K83,E83)</f>
        <v>1</v>
      </c>
      <c r="Q83" s="151" t="str">
        <f t="shared" si="7"/>
        <v>1-Mémo</v>
      </c>
      <c r="R83" s="150" t="str">
        <f t="shared" si="7"/>
        <v>50</v>
      </c>
      <c r="S83" s="151">
        <f t="shared" si="7"/>
        <v>0</v>
      </c>
      <c r="T83" s="153">
        <f>+VLOOKUP($L83,Data_Validation!$A:$D,1,0)</f>
        <v>661</v>
      </c>
      <c r="U83" s="153">
        <f>+VLOOKUP($L83,Data_Validation!$A:$D,3,0)</f>
        <v>0</v>
      </c>
      <c r="V83" s="153">
        <f>+VLOOKUP($L83,Data_Validation!$A:$D,4,0)</f>
        <v>0</v>
      </c>
      <c r="W83" s="153" t="str">
        <f>+VLOOKUP($L83,Data_Validation!$A:$E,5,0)</f>
        <v>$</v>
      </c>
      <c r="X83" s="153">
        <f>+VLOOKUP($L83,Data_Validation!$A:$F,6,0)</f>
        <v>0</v>
      </c>
    </row>
    <row r="84" spans="1:24" ht="15.75" customHeight="1">
      <c r="A84" s="1430" t="s">
        <v>2371</v>
      </c>
      <c r="B84" s="1433">
        <v>662</v>
      </c>
      <c r="C84" s="1431"/>
      <c r="D84" s="1431"/>
      <c r="E84" s="1431"/>
      <c r="F84" s="1430" t="s">
        <v>1</v>
      </c>
      <c r="G84" s="1430" t="s">
        <v>2208</v>
      </c>
      <c r="H84" s="1431"/>
      <c r="I84" s="1432">
        <v>1</v>
      </c>
      <c r="J84" s="1432">
        <v>0</v>
      </c>
      <c r="K84" s="1432">
        <v>1</v>
      </c>
      <c r="L84" s="150">
        <f t="shared" si="0"/>
        <v>662</v>
      </c>
      <c r="M84" s="151" t="str">
        <f t="shared" si="1"/>
        <v>PERSONELS CLER. USAGES</v>
      </c>
      <c r="N84" s="152">
        <f>+IF(OR($Q84=Parametres!$G$2,$Q84=Parametres!$G$3),I84,C84)</f>
        <v>1</v>
      </c>
      <c r="O84" s="569">
        <f>+IF(OR($Q84=Parametres!$G$2,$Q84=Parametres!$G$3),J84,D84)</f>
        <v>0</v>
      </c>
      <c r="P84" s="152">
        <f>+IF(OR($Q84=Parametres!$G$2,$Q84=Parametres!$G$3),K84,E84)</f>
        <v>1</v>
      </c>
      <c r="Q84" s="151" t="str">
        <f t="shared" si="7"/>
        <v>1-Mémo</v>
      </c>
      <c r="R84" s="150" t="str">
        <f t="shared" si="7"/>
        <v>50</v>
      </c>
      <c r="S84" s="151">
        <f t="shared" si="7"/>
        <v>0</v>
      </c>
      <c r="T84" s="153">
        <f>+VLOOKUP($L84,Data_Validation!$A:$D,1,0)</f>
        <v>662</v>
      </c>
      <c r="U84" s="153">
        <f>+VLOOKUP($L84,Data_Validation!$A:$D,3,0)</f>
        <v>0</v>
      </c>
      <c r="V84" s="153">
        <f>+VLOOKUP($L84,Data_Validation!$A:$D,4,0)</f>
        <v>0</v>
      </c>
      <c r="W84" s="153" t="str">
        <f>+VLOOKUP($L84,Data_Validation!$A:$E,5,0)</f>
        <v>$</v>
      </c>
      <c r="X84" s="153">
        <f>+VLOOKUP($L84,Data_Validation!$A:$F,6,0)</f>
        <v>0</v>
      </c>
    </row>
    <row r="85" spans="1:24" ht="15" customHeight="1">
      <c r="A85" s="1430" t="s">
        <v>2373</v>
      </c>
      <c r="B85" s="1433">
        <v>664</v>
      </c>
      <c r="C85" s="1431"/>
      <c r="D85" s="1431"/>
      <c r="E85" s="1431"/>
      <c r="F85" s="1430" t="s">
        <v>1</v>
      </c>
      <c r="G85" s="1430" t="s">
        <v>2208</v>
      </c>
      <c r="H85" s="1431"/>
      <c r="I85" s="1432">
        <v>1</v>
      </c>
      <c r="J85" s="1432">
        <v>0</v>
      </c>
      <c r="K85" s="1432">
        <v>1</v>
      </c>
      <c r="L85" s="150">
        <f t="shared" si="0"/>
        <v>664</v>
      </c>
      <c r="M85" s="151" t="str">
        <f t="shared" si="1"/>
        <v>PERSONELS CLER. SERVICE</v>
      </c>
      <c r="N85" s="152">
        <f>+IF(OR($Q85=Parametres!$G$2,$Q85=Parametres!$G$3),I85,C85)</f>
        <v>1</v>
      </c>
      <c r="O85" s="569">
        <f>+IF(OR($Q85=Parametres!$G$2,$Q85=Parametres!$G$3),J85,D85)</f>
        <v>0</v>
      </c>
      <c r="P85" s="152">
        <f>+IF(OR($Q85=Parametres!$G$2,$Q85=Parametres!$G$3),K85,E85)</f>
        <v>1</v>
      </c>
      <c r="Q85" s="151" t="str">
        <f t="shared" si="7"/>
        <v>1-Mémo</v>
      </c>
      <c r="R85" s="150" t="str">
        <f t="shared" si="7"/>
        <v>50</v>
      </c>
      <c r="S85" s="151">
        <f t="shared" si="7"/>
        <v>0</v>
      </c>
      <c r="T85" s="153">
        <f>+VLOOKUP($L85,Data_Validation!$A:$D,1,0)</f>
        <v>664</v>
      </c>
      <c r="U85" s="153">
        <f>+VLOOKUP($L85,Data_Validation!$A:$D,3,0)</f>
        <v>0</v>
      </c>
      <c r="V85" s="153">
        <f>+VLOOKUP($L85,Data_Validation!$A:$D,4,0)</f>
        <v>0</v>
      </c>
      <c r="W85" s="153" t="str">
        <f>+VLOOKUP($L85,Data_Validation!$A:$E,5,0)</f>
        <v>$</v>
      </c>
      <c r="X85" s="153">
        <f>+VLOOKUP($L85,Data_Validation!$A:$F,6,0)</f>
        <v>0</v>
      </c>
    </row>
    <row r="86" spans="1:24" ht="15" customHeight="1">
      <c r="A86" s="1430" t="s">
        <v>2375</v>
      </c>
      <c r="B86" s="1433">
        <v>667</v>
      </c>
      <c r="C86" s="1431"/>
      <c r="D86" s="1431"/>
      <c r="E86" s="1431"/>
      <c r="F86" s="1430" t="s">
        <v>1</v>
      </c>
      <c r="G86" s="1430" t="s">
        <v>2208</v>
      </c>
      <c r="H86" s="1431"/>
      <c r="I86" s="1432">
        <v>1</v>
      </c>
      <c r="J86" s="1432">
        <v>0</v>
      </c>
      <c r="K86" s="1432">
        <v>1</v>
      </c>
      <c r="L86" s="150">
        <f t="shared" si="0"/>
        <v>667</v>
      </c>
      <c r="M86" s="151" t="str">
        <f t="shared" si="1"/>
        <v>PERSONELS CLER. PIECES</v>
      </c>
      <c r="N86" s="152">
        <f>+IF(OR($Q86=Parametres!$G$2,$Q86=Parametres!$G$3),I86,C86)</f>
        <v>1</v>
      </c>
      <c r="O86" s="152">
        <f>+IF(OR($Q86=Parametres!$G$2,$Q86=Parametres!$G$3),J86,D86)</f>
        <v>0</v>
      </c>
      <c r="P86" s="152">
        <f>+IF(OR($Q86=Parametres!$G$2,$Q86=Parametres!$G$3),K86,E86)</f>
        <v>1</v>
      </c>
      <c r="Q86" s="151" t="str">
        <f t="shared" si="7"/>
        <v>1-Mémo</v>
      </c>
      <c r="R86" s="150" t="str">
        <f t="shared" si="7"/>
        <v>50</v>
      </c>
      <c r="S86" s="151">
        <f t="shared" si="7"/>
        <v>0</v>
      </c>
      <c r="T86" s="153">
        <f>+VLOOKUP($L86,Data_Validation!$A:$D,1,0)</f>
        <v>667</v>
      </c>
      <c r="U86" s="153">
        <f>+VLOOKUP($L86,Data_Validation!$A:$D,3,0)</f>
        <v>0</v>
      </c>
      <c r="V86" s="153">
        <f>+VLOOKUP($L86,Data_Validation!$A:$D,4,0)</f>
        <v>0</v>
      </c>
      <c r="W86" s="153" t="str">
        <f>+VLOOKUP($L86,Data_Validation!$A:$E,5,0)</f>
        <v>$</v>
      </c>
      <c r="X86" s="153">
        <f>+VLOOKUP($L86,Data_Validation!$A:$F,6,0)</f>
        <v>0</v>
      </c>
    </row>
    <row r="87" spans="1:24" ht="15" customHeight="1">
      <c r="A87" s="1430" t="s">
        <v>2377</v>
      </c>
      <c r="B87" s="1433">
        <v>677</v>
      </c>
      <c r="C87" s="1431"/>
      <c r="D87" s="1431"/>
      <c r="E87" s="1431"/>
      <c r="F87" s="1430" t="s">
        <v>1</v>
      </c>
      <c r="G87" s="1430" t="s">
        <v>2379</v>
      </c>
      <c r="H87" s="1431"/>
      <c r="I87" s="1432">
        <v>3</v>
      </c>
      <c r="J87" s="1432">
        <v>0</v>
      </c>
      <c r="K87" s="1432">
        <v>3</v>
      </c>
      <c r="L87" s="150">
        <f t="shared" si="0"/>
        <v>677</v>
      </c>
      <c r="M87" s="151" t="str">
        <f t="shared" si="1"/>
        <v>VW PIECES</v>
      </c>
      <c r="N87" s="152">
        <f>+IF(OR($Q87=Parametres!$G$2,$Q87=Parametres!$G$3),I87,C87)</f>
        <v>3</v>
      </c>
      <c r="O87" s="152">
        <f>+IF(OR($Q87=Parametres!$G$2,$Q87=Parametres!$G$3),J87,D87)</f>
        <v>0</v>
      </c>
      <c r="P87" s="152">
        <f>+IF(OR($Q87=Parametres!$G$2,$Q87=Parametres!$G$3),K87,E87)</f>
        <v>3</v>
      </c>
      <c r="Q87" s="151" t="str">
        <f t="shared" si="7"/>
        <v>1-Mémo</v>
      </c>
      <c r="R87" s="150" t="str">
        <f t="shared" si="7"/>
        <v>67</v>
      </c>
      <c r="S87" s="151">
        <f t="shared" si="7"/>
        <v>0</v>
      </c>
      <c r="T87" s="153">
        <f>+VLOOKUP($L87,Data_Validation!$A:$D,1,0)</f>
        <v>677</v>
      </c>
      <c r="U87" s="153">
        <f>+VLOOKUP($L87,Data_Validation!$A:$D,3,0)</f>
        <v>0</v>
      </c>
      <c r="V87" s="153">
        <f>+VLOOKUP($L87,Data_Validation!$A:$D,4,0)</f>
        <v>0</v>
      </c>
      <c r="W87" s="153" t="str">
        <f>+VLOOKUP($L87,Data_Validation!$A:$E,5,0)</f>
        <v>$</v>
      </c>
      <c r="X87" s="153">
        <f>+VLOOKUP($L87,Data_Validation!$A:$F,6,0)</f>
        <v>0</v>
      </c>
    </row>
    <row r="88" spans="1:24" ht="15" customHeight="1">
      <c r="A88" s="1430" t="s">
        <v>2845</v>
      </c>
      <c r="B88" s="1433">
        <v>1102</v>
      </c>
      <c r="C88" s="1432">
        <v>3763130.42</v>
      </c>
      <c r="D88" s="1432">
        <v>421915.95</v>
      </c>
      <c r="E88" s="1432">
        <v>4185046.37</v>
      </c>
      <c r="F88" s="1430" t="s">
        <v>290</v>
      </c>
      <c r="G88" s="1430" t="s">
        <v>2384</v>
      </c>
      <c r="H88" s="1431"/>
      <c r="I88" s="1431"/>
      <c r="J88" s="1431"/>
      <c r="K88" s="1431"/>
      <c r="L88" s="150">
        <f t="shared" si="0"/>
        <v>1102</v>
      </c>
      <c r="M88" s="151" t="str">
        <f t="shared" si="1"/>
        <v>BANQUE DE COMMERCE C/C</v>
      </c>
      <c r="N88" s="152">
        <f>+IF(OR($Q88=Parametres!$G$2,$Q88=Parametres!$G$3),I88,C88)</f>
        <v>3763130.42</v>
      </c>
      <c r="O88" s="569">
        <f>+IF(OR($Q88=Parametres!$G$2,$Q88=Parametres!$G$3),J88,D88)</f>
        <v>421915.95</v>
      </c>
      <c r="P88" s="152">
        <f>+IF(OR($Q88=Parametres!$G$2,$Q88=Parametres!$G$3),K88,E88)</f>
        <v>4185046.37</v>
      </c>
      <c r="Q88" s="151" t="str">
        <f t="shared" si="7"/>
        <v>2-Actifs</v>
      </c>
      <c r="R88" s="150" t="str">
        <f t="shared" si="7"/>
        <v>1102</v>
      </c>
      <c r="S88" s="151">
        <f t="shared" si="7"/>
        <v>0</v>
      </c>
      <c r="T88" s="153">
        <f>+VLOOKUP($L88,Data_Validation!$A:$D,1,0)</f>
        <v>1102</v>
      </c>
      <c r="U88" s="153" t="str">
        <f>+VLOOKUP($L88,Data_Validation!$A:$D,3,0)</f>
        <v>Bilan</v>
      </c>
      <c r="V88" s="153" t="str">
        <f>+VLOOKUP($L88,Data_Validation!$A:$D,4,0)</f>
        <v>Encaisse</v>
      </c>
      <c r="W88" s="153" t="str">
        <f>+VLOOKUP($L88,Data_Validation!$A:$E,5,0)</f>
        <v>$</v>
      </c>
      <c r="X88" s="153">
        <f>+VLOOKUP($L88,Data_Validation!$A:$F,6,0)</f>
        <v>0</v>
      </c>
    </row>
    <row r="89" spans="1:24" ht="15" customHeight="1">
      <c r="A89" s="1430" t="s">
        <v>2382</v>
      </c>
      <c r="B89" s="1433">
        <v>1182</v>
      </c>
      <c r="C89" s="1432">
        <v>50.2</v>
      </c>
      <c r="D89" s="1432">
        <v>0</v>
      </c>
      <c r="E89" s="1432">
        <v>50.2</v>
      </c>
      <c r="F89" s="1430" t="s">
        <v>290</v>
      </c>
      <c r="G89" s="1430" t="s">
        <v>2384</v>
      </c>
      <c r="H89" s="1431"/>
      <c r="I89" s="1431"/>
      <c r="J89" s="1431"/>
      <c r="K89" s="1431"/>
      <c r="L89" s="150">
        <f t="shared" si="0"/>
        <v>1182</v>
      </c>
      <c r="M89" s="151" t="str">
        <f t="shared" si="1"/>
        <v>PETITE CAISSE</v>
      </c>
      <c r="N89" s="152">
        <f>+IF(OR($Q89=Parametres!$G$2,$Q89=Parametres!$G$3),I89,C89)</f>
        <v>50.2</v>
      </c>
      <c r="O89" s="152">
        <f>+IF(OR($Q89=Parametres!$G$2,$Q89=Parametres!$G$3),J89,D89)</f>
        <v>0</v>
      </c>
      <c r="P89" s="152">
        <f>+IF(OR($Q89=Parametres!$G$2,$Q89=Parametres!$G$3),K89,E89)</f>
        <v>50.2</v>
      </c>
      <c r="Q89" s="151" t="str">
        <f t="shared" si="7"/>
        <v>2-Actifs</v>
      </c>
      <c r="R89" s="150" t="str">
        <f t="shared" si="7"/>
        <v>1102</v>
      </c>
      <c r="S89" s="151">
        <f t="shared" si="7"/>
        <v>0</v>
      </c>
      <c r="T89" s="153">
        <f>+VLOOKUP($L89,Data_Validation!$A:$D,1,0)</f>
        <v>1182</v>
      </c>
      <c r="U89" s="153" t="str">
        <f>+VLOOKUP($L89,Data_Validation!$A:$D,3,0)</f>
        <v>Bilan</v>
      </c>
      <c r="V89" s="153" t="str">
        <f>+VLOOKUP($L89,Data_Validation!$A:$D,4,0)</f>
        <v>Encaisse</v>
      </c>
      <c r="W89" s="153" t="str">
        <f>+VLOOKUP($L89,Data_Validation!$A:$E,5,0)</f>
        <v>$</v>
      </c>
      <c r="X89" s="153">
        <f>+VLOOKUP($L89,Data_Validation!$A:$F,6,0)</f>
        <v>0</v>
      </c>
    </row>
    <row r="90" spans="1:24" ht="15" customHeight="1">
      <c r="A90" s="1430" t="s">
        <v>2176</v>
      </c>
      <c r="B90" s="1433">
        <v>1202</v>
      </c>
      <c r="C90" s="1432">
        <v>2293296.7400000002</v>
      </c>
      <c r="D90" s="1432">
        <v>-323220.57</v>
      </c>
      <c r="E90" s="1432">
        <v>1970076.17</v>
      </c>
      <c r="F90" s="1430" t="s">
        <v>290</v>
      </c>
      <c r="G90" s="1430" t="s">
        <v>2177</v>
      </c>
      <c r="H90" s="1431"/>
      <c r="I90" s="1431"/>
      <c r="J90" s="1431"/>
      <c r="K90" s="1431"/>
      <c r="L90" s="150">
        <f t="shared" si="0"/>
        <v>1202</v>
      </c>
      <c r="M90" s="151" t="str">
        <f t="shared" si="1"/>
        <v>CONTRATS EN TRANSIT</v>
      </c>
      <c r="N90" s="152">
        <f>+IF(OR($Q90=Parametres!$G$2,$Q90=Parametres!$G$3),I90,C90)</f>
        <v>2293296.7400000002</v>
      </c>
      <c r="O90" s="152">
        <f>+IF(OR($Q90=Parametres!$G$2,$Q90=Parametres!$G$3),J90,D90)</f>
        <v>-323220.57</v>
      </c>
      <c r="P90" s="152">
        <f>+IF(OR($Q90=Parametres!$G$2,$Q90=Parametres!$G$3),K90,E90)</f>
        <v>1970076.17</v>
      </c>
      <c r="Q90" s="151" t="str">
        <f t="shared" si="7"/>
        <v>2-Actifs</v>
      </c>
      <c r="R90" s="150" t="str">
        <f t="shared" si="7"/>
        <v>1202</v>
      </c>
      <c r="S90" s="151">
        <f t="shared" si="7"/>
        <v>0</v>
      </c>
      <c r="T90" s="153">
        <f>+VLOOKUP($L90,Data_Validation!$A:$D,1,0)</f>
        <v>1202</v>
      </c>
      <c r="U90" s="153" t="str">
        <f>+VLOOKUP($L90,Data_Validation!$A:$D,3,0)</f>
        <v>Bilan</v>
      </c>
      <c r="V90" s="153" t="str">
        <f>+VLOOKUP($L90,Data_Validation!$A:$D,4,0)</f>
        <v>Recevables Contrats en Transit</v>
      </c>
      <c r="W90" s="153" t="str">
        <f>+VLOOKUP($L90,Data_Validation!$A:$E,5,0)</f>
        <v>$</v>
      </c>
      <c r="X90" s="153">
        <f>+VLOOKUP($L90,Data_Validation!$A:$F,6,0)</f>
        <v>0</v>
      </c>
    </row>
    <row r="91" spans="1:24" ht="15" customHeight="1">
      <c r="A91" s="1430" t="s">
        <v>2020</v>
      </c>
      <c r="B91" s="1433">
        <v>1302</v>
      </c>
      <c r="C91" s="1432">
        <v>-4567.53</v>
      </c>
      <c r="D91" s="1432">
        <v>33532.54</v>
      </c>
      <c r="E91" s="1432">
        <v>28965.01</v>
      </c>
      <c r="F91" s="1430" t="s">
        <v>290</v>
      </c>
      <c r="G91" s="1430" t="s">
        <v>2010</v>
      </c>
      <c r="H91" s="1431"/>
      <c r="I91" s="1431"/>
      <c r="J91" s="1431"/>
      <c r="K91" s="1431"/>
      <c r="L91" s="150">
        <f t="shared" si="0"/>
        <v>1302</v>
      </c>
      <c r="M91" s="151" t="str">
        <f t="shared" si="1"/>
        <v>RECEVABLE-CLIENT-VEHICULE</v>
      </c>
      <c r="N91" s="152">
        <f>+IF(OR($Q91=Parametres!$G$2,$Q91=Parametres!$G$3),I91,C91)</f>
        <v>-4567.53</v>
      </c>
      <c r="O91" s="152">
        <f>+IF(OR($Q91=Parametres!$G$2,$Q91=Parametres!$G$3),J91,D91)</f>
        <v>33532.54</v>
      </c>
      <c r="P91" s="152">
        <f>+IF(OR($Q91=Parametres!$G$2,$Q91=Parametres!$G$3),K91,E91)</f>
        <v>28965.01</v>
      </c>
      <c r="Q91" s="151" t="str">
        <f t="shared" si="7"/>
        <v>2-Actifs</v>
      </c>
      <c r="R91" s="150" t="str">
        <f t="shared" si="7"/>
        <v>1302</v>
      </c>
      <c r="S91" s="151">
        <f t="shared" si="7"/>
        <v>0</v>
      </c>
      <c r="T91" s="153">
        <f>+VLOOKUP($L91,Data_Validation!$A:$D,1,0)</f>
        <v>1302</v>
      </c>
      <c r="U91" s="153" t="str">
        <f>+VLOOKUP($L91,Data_Validation!$A:$D,3,0)</f>
        <v>Bilan</v>
      </c>
      <c r="V91" s="153" t="str">
        <f>+VLOOKUP($L91,Data_Validation!$A:$D,4,0)</f>
        <v>Recevables Véhicules</v>
      </c>
      <c r="W91" s="153" t="str">
        <f>+VLOOKUP($L91,Data_Validation!$A:$E,5,0)</f>
        <v>$</v>
      </c>
      <c r="X91" s="153">
        <f>+VLOOKUP($L91,Data_Validation!$A:$F,6,0)</f>
        <v>0</v>
      </c>
    </row>
    <row r="92" spans="1:24" ht="15" customHeight="1">
      <c r="A92" s="1430" t="s">
        <v>2008</v>
      </c>
      <c r="B92" s="1433">
        <v>1303</v>
      </c>
      <c r="C92" s="1432">
        <v>584604.16000000003</v>
      </c>
      <c r="D92" s="1432">
        <v>-218916.51</v>
      </c>
      <c r="E92" s="1432">
        <v>365687.65</v>
      </c>
      <c r="F92" s="1430" t="s">
        <v>290</v>
      </c>
      <c r="G92" s="1430" t="s">
        <v>2010</v>
      </c>
      <c r="H92" s="1431"/>
      <c r="I92" s="1431"/>
      <c r="J92" s="1431"/>
      <c r="K92" s="1431"/>
      <c r="L92" s="150">
        <f t="shared" si="0"/>
        <v>1303</v>
      </c>
      <c r="M92" s="151" t="str">
        <f t="shared" si="1"/>
        <v>RECEVABLES LPA ET AU GROS</v>
      </c>
      <c r="N92" s="152">
        <f>+IF(OR($Q92=Parametres!$G$2,$Q92=Parametres!$G$3),I92,C92)</f>
        <v>584604.16000000003</v>
      </c>
      <c r="O92" s="152">
        <f>+IF(OR($Q92=Parametres!$G$2,$Q92=Parametres!$G$3),J92,D92)</f>
        <v>-218916.51</v>
      </c>
      <c r="P92" s="152">
        <f>+IF(OR($Q92=Parametres!$G$2,$Q92=Parametres!$G$3),K92,E92)</f>
        <v>365687.65</v>
      </c>
      <c r="Q92" s="151" t="str">
        <f t="shared" si="7"/>
        <v>2-Actifs</v>
      </c>
      <c r="R92" s="150" t="str">
        <f t="shared" si="7"/>
        <v>1302</v>
      </c>
      <c r="S92" s="151">
        <f t="shared" si="7"/>
        <v>0</v>
      </c>
      <c r="T92" s="153">
        <f>+VLOOKUP($L92,Data_Validation!$A:$D,1,0)</f>
        <v>1303</v>
      </c>
      <c r="U92" s="153" t="str">
        <f>+VLOOKUP($L92,Data_Validation!$A:$D,3,0)</f>
        <v>Bilan</v>
      </c>
      <c r="V92" s="153" t="str">
        <f>+VLOOKUP($L92,Data_Validation!$A:$D,4,0)</f>
        <v>Recevables Véhicules</v>
      </c>
      <c r="W92" s="153" t="str">
        <f>+VLOOKUP($L92,Data_Validation!$A:$E,5,0)</f>
        <v>$</v>
      </c>
      <c r="X92" s="153">
        <f>+VLOOKUP($L92,Data_Validation!$A:$F,6,0)</f>
        <v>0</v>
      </c>
    </row>
    <row r="93" spans="1:24" ht="15" customHeight="1">
      <c r="A93" s="1430" t="s">
        <v>2095</v>
      </c>
      <c r="B93" s="1433">
        <v>1304</v>
      </c>
      <c r="C93" s="1432">
        <v>113674.17</v>
      </c>
      <c r="D93" s="1432">
        <v>-52805.49</v>
      </c>
      <c r="E93" s="1432">
        <v>60868.68</v>
      </c>
      <c r="F93" s="1430" t="s">
        <v>290</v>
      </c>
      <c r="G93" s="1430" t="s">
        <v>2096</v>
      </c>
      <c r="H93" s="1431"/>
      <c r="I93" s="1431"/>
      <c r="J93" s="1431"/>
      <c r="K93" s="1431"/>
      <c r="L93" s="150">
        <f t="shared" si="0"/>
        <v>1304</v>
      </c>
      <c r="M93" s="151" t="str">
        <f t="shared" si="1"/>
        <v>RECEVABLES PIECES &amp; SERVICE</v>
      </c>
      <c r="N93" s="152">
        <f>+IF(OR($Q93=Parametres!$G$2,$Q93=Parametres!$G$3),I93,C93)</f>
        <v>113674.17</v>
      </c>
      <c r="O93" s="569">
        <f>+IF(OR($Q93=Parametres!$G$2,$Q93=Parametres!$G$3),J93,D93)</f>
        <v>-52805.49</v>
      </c>
      <c r="P93" s="152">
        <f>+IF(OR($Q93=Parametres!$G$2,$Q93=Parametres!$G$3),K93,E93)</f>
        <v>60868.68</v>
      </c>
      <c r="Q93" s="151" t="str">
        <f t="shared" si="7"/>
        <v>2-Actifs</v>
      </c>
      <c r="R93" s="150" t="str">
        <f t="shared" si="7"/>
        <v>1304</v>
      </c>
      <c r="S93" s="151">
        <f t="shared" si="7"/>
        <v>0</v>
      </c>
      <c r="T93" s="153">
        <f>+VLOOKUP($L93,Data_Validation!$A:$D,1,0)</f>
        <v>1304</v>
      </c>
      <c r="U93" s="153" t="str">
        <f>+VLOOKUP($L93,Data_Validation!$A:$D,3,0)</f>
        <v>Bilan</v>
      </c>
      <c r="V93" s="153" t="str">
        <f>+VLOOKUP($L93,Data_Validation!$A:$D,4,0)</f>
        <v>Recevables Pièces et Service</v>
      </c>
      <c r="W93" s="153" t="str">
        <f>+VLOOKUP($L93,Data_Validation!$A:$E,5,0)</f>
        <v>$</v>
      </c>
      <c r="X93" s="153">
        <f>+VLOOKUP($L93,Data_Validation!$A:$F,6,0)</f>
        <v>0</v>
      </c>
    </row>
    <row r="94" spans="1:24" ht="15.75" customHeight="1">
      <c r="A94" s="1430" t="s">
        <v>2728</v>
      </c>
      <c r="B94" s="1433">
        <v>1305</v>
      </c>
      <c r="C94" s="1432">
        <v>47777.98</v>
      </c>
      <c r="D94" s="1432">
        <v>30113.82</v>
      </c>
      <c r="E94" s="1432">
        <v>77891.8</v>
      </c>
      <c r="F94" s="1430" t="s">
        <v>290</v>
      </c>
      <c r="G94" s="1430" t="s">
        <v>2096</v>
      </c>
      <c r="H94" s="1431"/>
      <c r="I94" s="1431"/>
      <c r="J94" s="1431"/>
      <c r="K94" s="1431"/>
      <c r="L94" s="150">
        <f t="shared" si="0"/>
        <v>1305</v>
      </c>
      <c r="M94" s="151" t="str">
        <f t="shared" si="1"/>
        <v>RECEVABLES CARROSSERIE</v>
      </c>
      <c r="N94" s="152">
        <f>+IF(OR($Q94=Parametres!$G$2,$Q94=Parametres!$G$3),I94,C94)</f>
        <v>47777.98</v>
      </c>
      <c r="O94" s="152">
        <f>+IF(OR($Q94=Parametres!$G$2,$Q94=Parametres!$G$3),J94,D94)</f>
        <v>30113.82</v>
      </c>
      <c r="P94" s="152">
        <f>+IF(OR($Q94=Parametres!$G$2,$Q94=Parametres!$G$3),K94,E94)</f>
        <v>77891.8</v>
      </c>
      <c r="Q94" s="151" t="str">
        <f t="shared" si="7"/>
        <v>2-Actifs</v>
      </c>
      <c r="R94" s="150" t="str">
        <f t="shared" si="7"/>
        <v>1304</v>
      </c>
      <c r="S94" s="151">
        <f t="shared" si="7"/>
        <v>0</v>
      </c>
      <c r="T94" s="153">
        <f>+VLOOKUP($L94,Data_Validation!$A:$D,1,0)</f>
        <v>1305</v>
      </c>
      <c r="U94" s="153" t="str">
        <f>+VLOOKUP($L94,Data_Validation!$A:$D,3,0)</f>
        <v>Bilan</v>
      </c>
      <c r="V94" s="153" t="str">
        <f>+VLOOKUP($L94,Data_Validation!$A:$D,4,0)</f>
        <v>Recevables Carrosserie</v>
      </c>
      <c r="W94" s="153" t="str">
        <f>+VLOOKUP($L94,Data_Validation!$A:$E,5,0)</f>
        <v>$</v>
      </c>
      <c r="X94" s="153">
        <f>+VLOOKUP($L94,Data_Validation!$A:$F,6,0)</f>
        <v>0</v>
      </c>
    </row>
    <row r="95" spans="1:24" ht="15" customHeight="1">
      <c r="A95" s="1430" t="s">
        <v>2928</v>
      </c>
      <c r="B95" s="1433">
        <v>1306</v>
      </c>
      <c r="C95" s="1432">
        <v>0</v>
      </c>
      <c r="D95" s="1432">
        <v>48090.67</v>
      </c>
      <c r="E95" s="1432">
        <v>48090.67</v>
      </c>
      <c r="F95" s="1430" t="s">
        <v>290</v>
      </c>
      <c r="G95" s="1430" t="s">
        <v>2096</v>
      </c>
      <c r="H95" s="1431"/>
      <c r="I95" s="1431"/>
      <c r="J95" s="1431"/>
      <c r="K95" s="1431"/>
      <c r="L95" s="150">
        <f t="shared" si="0"/>
        <v>1306</v>
      </c>
      <c r="M95" s="151" t="str">
        <f t="shared" si="1"/>
        <v>RECEVABLES INTERCO</v>
      </c>
      <c r="N95" s="152">
        <f>+IF(OR($Q95=Parametres!$G$2,$Q95=Parametres!$G$3),I95,C95)</f>
        <v>0</v>
      </c>
      <c r="O95" s="152">
        <f>+IF(OR($Q95=Parametres!$G$2,$Q95=Parametres!$G$3),J95,D95)</f>
        <v>48090.67</v>
      </c>
      <c r="P95" s="152">
        <f>+IF(OR($Q95=Parametres!$G$2,$Q95=Parametres!$G$3),K95,E95)</f>
        <v>48090.67</v>
      </c>
      <c r="Q95" s="151" t="str">
        <f t="shared" si="7"/>
        <v>2-Actifs</v>
      </c>
      <c r="R95" s="150" t="str">
        <f t="shared" si="7"/>
        <v>1304</v>
      </c>
      <c r="S95" s="151">
        <f t="shared" si="7"/>
        <v>0</v>
      </c>
      <c r="T95" s="153">
        <f>+VLOOKUP($L95,Data_Validation!$A:$D,1,0)</f>
        <v>1306</v>
      </c>
      <c r="U95" s="153" t="str">
        <f>+VLOOKUP($L95,Data_Validation!$A:$D,3,0)</f>
        <v>Bilan</v>
      </c>
      <c r="V95" s="153" t="str">
        <f>+VLOOKUP($L95,Data_Validation!$A:$D,4,0)</f>
        <v>Recevables Intercos</v>
      </c>
      <c r="W95" s="153" t="str">
        <f>+VLOOKUP($L95,Data_Validation!$A:$E,5,0)</f>
        <v>$</v>
      </c>
      <c r="X95" s="153">
        <f>+VLOOKUP($L95,Data_Validation!$A:$F,6,0)</f>
        <v>0</v>
      </c>
    </row>
    <row r="96" spans="1:24" ht="15" customHeight="1">
      <c r="A96" s="1430" t="s">
        <v>2825</v>
      </c>
      <c r="B96" s="1433">
        <v>1312</v>
      </c>
      <c r="C96" s="1432">
        <v>23049</v>
      </c>
      <c r="D96" s="1432">
        <v>-8150</v>
      </c>
      <c r="E96" s="1432">
        <v>14899</v>
      </c>
      <c r="F96" s="1430" t="s">
        <v>290</v>
      </c>
      <c r="G96" s="1430" t="s">
        <v>2015</v>
      </c>
      <c r="H96" s="1431"/>
      <c r="I96" s="1431"/>
      <c r="J96" s="1431"/>
      <c r="K96" s="1431"/>
      <c r="L96" s="150">
        <f t="shared" si="0"/>
        <v>1312</v>
      </c>
      <c r="M96" s="151" t="str">
        <f t="shared" si="1"/>
        <v>RESEVE VOLKS</v>
      </c>
      <c r="N96" s="152">
        <f>+IF(OR($Q96=Parametres!$G$2,$Q96=Parametres!$G$3),I96,C96)</f>
        <v>23049</v>
      </c>
      <c r="O96" s="152">
        <f>+IF(OR($Q96=Parametres!$G$2,$Q96=Parametres!$G$3),J96,D96)</f>
        <v>-8150</v>
      </c>
      <c r="P96" s="152">
        <f>+IF(OR($Q96=Parametres!$G$2,$Q96=Parametres!$G$3),K96,E96)</f>
        <v>14899</v>
      </c>
      <c r="Q96" s="151" t="str">
        <f t="shared" si="7"/>
        <v>2-Actifs</v>
      </c>
      <c r="R96" s="150" t="str">
        <f t="shared" si="7"/>
        <v>1314</v>
      </c>
      <c r="S96" s="151">
        <f t="shared" si="7"/>
        <v>0</v>
      </c>
      <c r="T96" s="153">
        <f>+VLOOKUP($L96,Data_Validation!$A:$D,1,0)</f>
        <v>1312</v>
      </c>
      <c r="U96" s="153" t="str">
        <f>+VLOOKUP($L96,Data_Validation!$A:$D,3,0)</f>
        <v>Bilan</v>
      </c>
      <c r="V96" s="153" t="str">
        <f>+VLOOKUP($L96,Data_Validation!$A:$D,4,0)</f>
        <v>Recevables Manufacturier</v>
      </c>
      <c r="W96" s="153" t="str">
        <f>+VLOOKUP($L96,Data_Validation!$A:$E,5,0)</f>
        <v>$</v>
      </c>
      <c r="X96" s="153">
        <f>+VLOOKUP($L96,Data_Validation!$A:$F,6,0)</f>
        <v>0</v>
      </c>
    </row>
    <row r="97" spans="1:24" ht="15" customHeight="1">
      <c r="A97" s="1430" t="s">
        <v>2053</v>
      </c>
      <c r="B97" s="1433">
        <v>1332</v>
      </c>
      <c r="C97" s="1432">
        <v>76827.87</v>
      </c>
      <c r="D97" s="1432">
        <v>19853.96</v>
      </c>
      <c r="E97" s="1432">
        <v>96681.83</v>
      </c>
      <c r="F97" s="1430" t="s">
        <v>290</v>
      </c>
      <c r="G97" s="1430" t="s">
        <v>2054</v>
      </c>
      <c r="H97" s="1431"/>
      <c r="I97" s="1431"/>
      <c r="J97" s="1431"/>
      <c r="K97" s="1431"/>
      <c r="L97" s="150">
        <f t="shared" si="0"/>
        <v>1332</v>
      </c>
      <c r="M97" s="151" t="str">
        <f t="shared" si="1"/>
        <v>RECLAM. RECEVABLE-GARANTIE</v>
      </c>
      <c r="N97" s="152">
        <f>+IF(OR($Q97=Parametres!$G$2,$Q97=Parametres!$G$3),I97,C97)</f>
        <v>76827.87</v>
      </c>
      <c r="O97" s="152">
        <f>+IF(OR($Q97=Parametres!$G$2,$Q97=Parametres!$G$3),J97,D97)</f>
        <v>19853.96</v>
      </c>
      <c r="P97" s="152">
        <f>+IF(OR($Q97=Parametres!$G$2,$Q97=Parametres!$G$3),K97,E97)</f>
        <v>96681.83</v>
      </c>
      <c r="Q97" s="151" t="str">
        <f t="shared" si="7"/>
        <v>2-Actifs</v>
      </c>
      <c r="R97" s="150" t="str">
        <f t="shared" si="7"/>
        <v>1332</v>
      </c>
      <c r="S97" s="151">
        <f t="shared" si="7"/>
        <v>0</v>
      </c>
      <c r="T97" s="153">
        <f>+VLOOKUP($L97,Data_Validation!$A:$D,1,0)</f>
        <v>1332</v>
      </c>
      <c r="U97" s="153" t="str">
        <f>+VLOOKUP($L97,Data_Validation!$A:$D,3,0)</f>
        <v>Bilan</v>
      </c>
      <c r="V97" s="153" t="str">
        <f>+VLOOKUP($L97,Data_Validation!$A:$D,4,0)</f>
        <v>Recevables Garantie Manufacturier</v>
      </c>
      <c r="W97" s="153" t="str">
        <f>+VLOOKUP($L97,Data_Validation!$A:$E,5,0)</f>
        <v>$</v>
      </c>
      <c r="X97" s="153">
        <f>+VLOOKUP($L97,Data_Validation!$A:$F,6,0)</f>
        <v>0</v>
      </c>
    </row>
    <row r="98" spans="1:24" ht="15" customHeight="1">
      <c r="A98" s="1430" t="s">
        <v>2774</v>
      </c>
      <c r="B98" s="1433">
        <v>1340</v>
      </c>
      <c r="C98" s="1432">
        <v>680.91</v>
      </c>
      <c r="D98" s="1432">
        <v>2260.4299999999998</v>
      </c>
      <c r="E98" s="1432">
        <v>2941.34</v>
      </c>
      <c r="F98" s="1430" t="s">
        <v>290</v>
      </c>
      <c r="G98" s="1430" t="s">
        <v>2614</v>
      </c>
      <c r="H98" s="1431"/>
      <c r="I98" s="1431"/>
      <c r="J98" s="1431"/>
      <c r="K98" s="1431"/>
      <c r="L98" s="150">
        <f t="shared" si="0"/>
        <v>1340</v>
      </c>
      <c r="M98" s="151" t="str">
        <f t="shared" si="1"/>
        <v>GARANTIE PPM</v>
      </c>
      <c r="N98" s="152">
        <f>+IF(OR($Q98=Parametres!$G$2,$Q98=Parametres!$G$3),I98,C98)</f>
        <v>680.91</v>
      </c>
      <c r="O98" s="152">
        <f>+IF(OR($Q98=Parametres!$G$2,$Q98=Parametres!$G$3),J98,D98)</f>
        <v>2260.4299999999998</v>
      </c>
      <c r="P98" s="152">
        <f>+IF(OR($Q98=Parametres!$G$2,$Q98=Parametres!$G$3),K98,E98)</f>
        <v>2941.34</v>
      </c>
      <c r="Q98" s="151" t="str">
        <f t="shared" ref="Q98:S113" si="8">+F98</f>
        <v>2-Actifs</v>
      </c>
      <c r="R98" s="150" t="str">
        <f t="shared" si="8"/>
        <v>1382</v>
      </c>
      <c r="S98" s="151">
        <f t="shared" si="8"/>
        <v>0</v>
      </c>
      <c r="T98" s="153">
        <f>+VLOOKUP($L98,Data_Validation!$A:$D,1,0)</f>
        <v>1340</v>
      </c>
      <c r="U98" s="153" t="str">
        <f>+VLOOKUP($L98,Data_Validation!$A:$D,3,0)</f>
        <v>Bilan</v>
      </c>
      <c r="V98" s="153" t="str">
        <f>+VLOOKUP($L98,Data_Validation!$A:$D,4,0)</f>
        <v>recevables Autres</v>
      </c>
      <c r="W98" s="153" t="str">
        <f>+VLOOKUP($L98,Data_Validation!$A:$E,5,0)</f>
        <v>$</v>
      </c>
      <c r="X98" s="153">
        <f>+VLOOKUP($L98,Data_Validation!$A:$F,6,0)</f>
        <v>0</v>
      </c>
    </row>
    <row r="99" spans="1:24" ht="15.75" customHeight="1">
      <c r="A99" s="1430" t="s">
        <v>2013</v>
      </c>
      <c r="B99" s="1433">
        <v>1352</v>
      </c>
      <c r="C99" s="1432">
        <v>33125.74</v>
      </c>
      <c r="D99" s="1432">
        <v>-35618</v>
      </c>
      <c r="E99" s="1432">
        <v>-2492.2600000000002</v>
      </c>
      <c r="F99" s="1430" t="s">
        <v>290</v>
      </c>
      <c r="G99" s="1430" t="s">
        <v>2015</v>
      </c>
      <c r="H99" s="1431"/>
      <c r="I99" s="1431"/>
      <c r="J99" s="1431"/>
      <c r="K99" s="1431"/>
      <c r="L99" s="150">
        <f t="shared" si="0"/>
        <v>1352</v>
      </c>
      <c r="M99" s="151" t="str">
        <f t="shared" si="1"/>
        <v>RECEV. MANUFACTURIER VOLKS</v>
      </c>
      <c r="N99" s="152">
        <f>+IF(OR($Q99=Parametres!$G$2,$Q99=Parametres!$G$3),I99,C99)</f>
        <v>33125.74</v>
      </c>
      <c r="O99" s="152">
        <f>+IF(OR($Q99=Parametres!$G$2,$Q99=Parametres!$G$3),J99,D99)</f>
        <v>-35618</v>
      </c>
      <c r="P99" s="152">
        <f>+IF(OR($Q99=Parametres!$G$2,$Q99=Parametres!$G$3),K99,E99)</f>
        <v>-2492.2600000000002</v>
      </c>
      <c r="Q99" s="151" t="str">
        <f t="shared" si="8"/>
        <v>2-Actifs</v>
      </c>
      <c r="R99" s="150" t="str">
        <f t="shared" si="8"/>
        <v>1314</v>
      </c>
      <c r="S99" s="151">
        <f t="shared" si="8"/>
        <v>0</v>
      </c>
      <c r="T99" s="153">
        <f>+VLOOKUP($L99,Data_Validation!$A:$D,1,0)</f>
        <v>1352</v>
      </c>
      <c r="U99" s="153" t="str">
        <f>+VLOOKUP($L99,Data_Validation!$A:$D,3,0)</f>
        <v>Bilan</v>
      </c>
      <c r="V99" s="153" t="str">
        <f>+VLOOKUP($L99,Data_Validation!$A:$D,4,0)</f>
        <v>Recevables Manufacturier</v>
      </c>
      <c r="W99" s="153" t="str">
        <f>+VLOOKUP($L99,Data_Validation!$A:$E,5,0)</f>
        <v>$</v>
      </c>
      <c r="X99" s="153">
        <f>+VLOOKUP($L99,Data_Validation!$A:$F,6,0)</f>
        <v>0</v>
      </c>
    </row>
    <row r="100" spans="1:24" ht="15" customHeight="1">
      <c r="A100" s="1430" t="s">
        <v>2880</v>
      </c>
      <c r="B100" s="1433">
        <v>1362</v>
      </c>
      <c r="C100" s="1432">
        <v>-3436.01</v>
      </c>
      <c r="D100" s="1432">
        <v>3436.01</v>
      </c>
      <c r="E100" s="1432">
        <v>0</v>
      </c>
      <c r="F100" s="1430" t="s">
        <v>290</v>
      </c>
      <c r="G100" s="1430" t="s">
        <v>3611</v>
      </c>
      <c r="H100" s="1431"/>
      <c r="I100" s="1431"/>
      <c r="J100" s="1431"/>
      <c r="K100" s="1431"/>
      <c r="L100" s="150">
        <f t="shared" si="0"/>
        <v>1362</v>
      </c>
      <c r="M100" s="151" t="str">
        <f t="shared" si="1"/>
        <v>RECEV. INTERCO</v>
      </c>
      <c r="N100" s="152">
        <f>+IF(OR($Q100=Parametres!$G$2,$Q100=Parametres!$G$3),I100,C100)</f>
        <v>-3436.01</v>
      </c>
      <c r="O100" s="152">
        <f>+IF(OR($Q100=Parametres!$G$2,$Q100=Parametres!$G$3),J100,D100)</f>
        <v>3436.01</v>
      </c>
      <c r="P100" s="152">
        <f>+IF(OR($Q100=Parametres!$G$2,$Q100=Parametres!$G$3),K100,E100)</f>
        <v>0</v>
      </c>
      <c r="Q100" s="151" t="str">
        <f t="shared" si="8"/>
        <v>2-Actifs</v>
      </c>
      <c r="R100" s="150" t="str">
        <f t="shared" si="8"/>
        <v>1362</v>
      </c>
      <c r="S100" s="151">
        <f t="shared" si="8"/>
        <v>0</v>
      </c>
      <c r="T100" s="153">
        <f>+VLOOKUP($L100,Data_Validation!$A:$D,1,0)</f>
        <v>1362</v>
      </c>
      <c r="U100" s="153" t="str">
        <f>+VLOOKUP($L100,Data_Validation!$A:$D,3,0)</f>
        <v>Bilan</v>
      </c>
      <c r="V100" s="153" t="str">
        <f>+VLOOKUP($L100,Data_Validation!$A:$D,4,0)</f>
        <v>Recevables Autres</v>
      </c>
      <c r="W100" s="153" t="str">
        <f>+VLOOKUP($L100,Data_Validation!$A:$E,5,0)</f>
        <v>$</v>
      </c>
      <c r="X100" s="153">
        <f>+VLOOKUP($L100,Data_Validation!$A:$F,6,0)</f>
        <v>0</v>
      </c>
    </row>
    <row r="101" spans="1:24" ht="15" customHeight="1">
      <c r="A101" s="1430" t="s">
        <v>2813</v>
      </c>
      <c r="B101" s="1433">
        <v>1372</v>
      </c>
      <c r="C101" s="1432">
        <v>8168.68</v>
      </c>
      <c r="D101" s="1432">
        <v>0</v>
      </c>
      <c r="E101" s="1432">
        <v>8168.68</v>
      </c>
      <c r="F101" s="1430" t="s">
        <v>290</v>
      </c>
      <c r="G101" s="1430" t="s">
        <v>2814</v>
      </c>
      <c r="H101" s="1431"/>
      <c r="I101" s="1431"/>
      <c r="J101" s="1431"/>
      <c r="K101" s="1431"/>
      <c r="L101" s="150">
        <f t="shared" si="0"/>
        <v>1372</v>
      </c>
      <c r="M101" s="151" t="str">
        <f t="shared" si="1"/>
        <v>TAXES DE VENTES A RECEVOIR</v>
      </c>
      <c r="N101" s="152">
        <f>+IF(OR($Q101=Parametres!$G$2,$Q101=Parametres!$G$3),I101,C101)</f>
        <v>8168.68</v>
      </c>
      <c r="O101" s="152">
        <f>+IF(OR($Q101=Parametres!$G$2,$Q101=Parametres!$G$3),J101,D101)</f>
        <v>0</v>
      </c>
      <c r="P101" s="152">
        <f>+IF(OR($Q101=Parametres!$G$2,$Q101=Parametres!$G$3),K101,E101)</f>
        <v>8168.68</v>
      </c>
      <c r="Q101" s="151" t="str">
        <f t="shared" si="8"/>
        <v>2-Actifs</v>
      </c>
      <c r="R101" s="150" t="str">
        <f t="shared" si="8"/>
        <v>1372</v>
      </c>
      <c r="S101" s="151">
        <f t="shared" si="8"/>
        <v>0</v>
      </c>
      <c r="T101" s="153">
        <f>+VLOOKUP($L101,Data_Validation!$A:$D,1,0)</f>
        <v>1372</v>
      </c>
      <c r="U101" s="153" t="str">
        <f>+VLOOKUP($L101,Data_Validation!$A:$D,3,0)</f>
        <v>Bilan</v>
      </c>
      <c r="V101" s="153" t="str">
        <f>+VLOOKUP($L101,Data_Validation!$A:$D,4,0)</f>
        <v>Taxes de Vente à Payer</v>
      </c>
      <c r="W101" s="153" t="str">
        <f>+VLOOKUP($L101,Data_Validation!$A:$E,5,0)</f>
        <v>$</v>
      </c>
      <c r="X101" s="153">
        <f>+VLOOKUP($L101,Data_Validation!$A:$F,6,0)</f>
        <v>0</v>
      </c>
    </row>
    <row r="102" spans="1:24" ht="15" customHeight="1">
      <c r="A102" s="1430" t="s">
        <v>2856</v>
      </c>
      <c r="B102" s="1433">
        <v>1399</v>
      </c>
      <c r="C102" s="1432">
        <v>-34850.53</v>
      </c>
      <c r="D102" s="1432">
        <v>0</v>
      </c>
      <c r="E102" s="1432">
        <v>-34850.53</v>
      </c>
      <c r="F102" s="1430" t="s">
        <v>290</v>
      </c>
      <c r="G102" s="1430" t="s">
        <v>2857</v>
      </c>
      <c r="H102" s="1431"/>
      <c r="I102" s="1431"/>
      <c r="J102" s="1431"/>
      <c r="K102" s="1431"/>
      <c r="L102" s="150">
        <f t="shared" si="0"/>
        <v>1399</v>
      </c>
      <c r="M102" s="151" t="str">
        <f t="shared" si="1"/>
        <v>RESERVE CREANCE DOUTEUSES</v>
      </c>
      <c r="N102" s="152">
        <f>+IF(OR($Q102=Parametres!$G$2,$Q102=Parametres!$G$3),I102,C102)</f>
        <v>-34850.53</v>
      </c>
      <c r="O102" s="569">
        <f>+IF(OR($Q102=Parametres!$G$2,$Q102=Parametres!$G$3),J102,D102)</f>
        <v>0</v>
      </c>
      <c r="P102" s="152">
        <f>+IF(OR($Q102=Parametres!$G$2,$Q102=Parametres!$G$3),K102,E102)</f>
        <v>-34850.53</v>
      </c>
      <c r="Q102" s="151" t="str">
        <f t="shared" si="8"/>
        <v>2-Actifs</v>
      </c>
      <c r="R102" s="150" t="str">
        <f t="shared" si="8"/>
        <v>1399</v>
      </c>
      <c r="S102" s="151">
        <f t="shared" si="8"/>
        <v>0</v>
      </c>
      <c r="T102" s="153">
        <f>+VLOOKUP($L102,Data_Validation!$A:$D,1,0)</f>
        <v>1399</v>
      </c>
      <c r="U102" s="153" t="str">
        <f>+VLOOKUP($L102,Data_Validation!$A:$D,3,0)</f>
        <v>Bilan</v>
      </c>
      <c r="V102" s="153" t="str">
        <f>+VLOOKUP($L102,Data_Validation!$A:$D,4,0)</f>
        <v>Recevables Pièces et Service</v>
      </c>
      <c r="W102" s="153" t="str">
        <f>+VLOOKUP($L102,Data_Validation!$A:$E,5,0)</f>
        <v>$</v>
      </c>
      <c r="X102" s="153">
        <f>+VLOOKUP($L102,Data_Validation!$A:$F,6,0)</f>
        <v>0</v>
      </c>
    </row>
    <row r="103" spans="1:24" ht="15.75" customHeight="1">
      <c r="A103" s="1430" t="s">
        <v>2102</v>
      </c>
      <c r="B103" s="1433">
        <v>1402</v>
      </c>
      <c r="C103" s="1432">
        <v>3785853.2</v>
      </c>
      <c r="D103" s="1432">
        <v>-902045.63</v>
      </c>
      <c r="E103" s="1432">
        <v>2883807.57</v>
      </c>
      <c r="F103" s="1430" t="s">
        <v>290</v>
      </c>
      <c r="G103" s="1430" t="s">
        <v>2103</v>
      </c>
      <c r="H103" s="1431"/>
      <c r="I103" s="1431"/>
      <c r="J103" s="1431"/>
      <c r="K103" s="1431"/>
      <c r="L103" s="150">
        <f t="shared" si="0"/>
        <v>1402</v>
      </c>
      <c r="M103" s="151" t="str">
        <f t="shared" si="1"/>
        <v>VEHIC. NEUFS VOLKS</v>
      </c>
      <c r="N103" s="152">
        <f>+IF(OR($Q103=Parametres!$G$2,$Q103=Parametres!$G$3),I103,C103)</f>
        <v>3785853.2</v>
      </c>
      <c r="O103" s="152">
        <f>+IF(OR($Q103=Parametres!$G$2,$Q103=Parametres!$G$3),J103,D103)</f>
        <v>-902045.63</v>
      </c>
      <c r="P103" s="152">
        <f>+IF(OR($Q103=Parametres!$G$2,$Q103=Parametres!$G$3),K103,E103)</f>
        <v>2883807.57</v>
      </c>
      <c r="Q103" s="151" t="str">
        <f t="shared" si="8"/>
        <v>2-Actifs</v>
      </c>
      <c r="R103" s="150" t="str">
        <f t="shared" si="8"/>
        <v>1402</v>
      </c>
      <c r="S103" s="151">
        <f t="shared" si="8"/>
        <v>0</v>
      </c>
      <c r="T103" s="153">
        <f>+VLOOKUP($L103,Data_Validation!$A:$D,1,0)</f>
        <v>1402</v>
      </c>
      <c r="U103" s="153" t="str">
        <f>+VLOOKUP($L103,Data_Validation!$A:$D,3,0)</f>
        <v>Bilan</v>
      </c>
      <c r="V103" s="153" t="str">
        <f>+VLOOKUP($L103,Data_Validation!$A:$D,4,0)</f>
        <v>Inventaire Véhicules Neufs</v>
      </c>
      <c r="W103" s="153" t="str">
        <f>+VLOOKUP($L103,Data_Validation!$A:$E,5,0)</f>
        <v>$</v>
      </c>
      <c r="X103" s="153">
        <f>+VLOOKUP($L103,Data_Validation!$A:$F,6,0)</f>
        <v>0</v>
      </c>
    </row>
    <row r="104" spans="1:24" ht="15" customHeight="1">
      <c r="A104" s="1430" t="s">
        <v>2468</v>
      </c>
      <c r="B104" s="1430" t="s">
        <v>2469</v>
      </c>
      <c r="C104" s="1431"/>
      <c r="D104" s="1431"/>
      <c r="E104" s="1431"/>
      <c r="F104" s="1430" t="s">
        <v>4</v>
      </c>
      <c r="G104" s="1430" t="s">
        <v>2103</v>
      </c>
      <c r="H104" s="1431"/>
      <c r="I104" s="1432">
        <v>109</v>
      </c>
      <c r="J104" s="1432">
        <v>-33</v>
      </c>
      <c r="K104" s="1432">
        <v>76</v>
      </c>
      <c r="L104" s="150" t="str">
        <f t="shared" si="0"/>
        <v>1402@</v>
      </c>
      <c r="M104" s="151" t="str">
        <f t="shared" si="1"/>
        <v># DE INVENTAIRE VEH.NEUFS VW</v>
      </c>
      <c r="N104" s="152">
        <f>+IF(OR($Q104=Parametres!$G$2,$Q104=Parametres!$G$3),I104,C104)</f>
        <v>109</v>
      </c>
      <c r="O104" s="152">
        <f>+IF(OR($Q104=Parametres!$G$2,$Q104=Parametres!$G$3),J104,D104)</f>
        <v>-33</v>
      </c>
      <c r="P104" s="152">
        <f>+IF(OR($Q104=Parametres!$G$2,$Q104=Parametres!$G$3),K104,E104)</f>
        <v>76</v>
      </c>
      <c r="Q104" s="151" t="str">
        <f t="shared" si="8"/>
        <v>10-Compte compteur</v>
      </c>
      <c r="R104" s="150" t="str">
        <f t="shared" si="8"/>
        <v>1402</v>
      </c>
      <c r="S104" s="151">
        <f t="shared" si="8"/>
        <v>0</v>
      </c>
      <c r="T104" s="153" t="str">
        <f>+VLOOKUP($L104,Data_Validation!$A:$D,1,0)</f>
        <v>1402@</v>
      </c>
      <c r="U104" s="153" t="str">
        <f>+VLOOKUP($L104,Data_Validation!$A:$D,3,0)</f>
        <v>Bilan</v>
      </c>
      <c r="V104" s="153">
        <f>+VLOOKUP($L104,Data_Validation!$A:$D,4,0)</f>
        <v>0</v>
      </c>
      <c r="W104" s="153" t="str">
        <f>+VLOOKUP($L104,Data_Validation!$A:$E,5,0)</f>
        <v>NB</v>
      </c>
      <c r="X104" s="153">
        <f>+VLOOKUP($L104,Data_Validation!$A:$F,6,0)</f>
        <v>0</v>
      </c>
    </row>
    <row r="105" spans="1:24" ht="15" customHeight="1">
      <c r="A105" s="1430" t="s">
        <v>2111</v>
      </c>
      <c r="B105" s="1433">
        <v>1403</v>
      </c>
      <c r="C105" s="1432">
        <v>-155483.5</v>
      </c>
      <c r="D105" s="1432">
        <v>-3150</v>
      </c>
      <c r="E105" s="1432">
        <v>-158633.5</v>
      </c>
      <c r="F105" s="1430" t="s">
        <v>290</v>
      </c>
      <c r="G105" s="1430" t="s">
        <v>2103</v>
      </c>
      <c r="H105" s="1431"/>
      <c r="I105" s="1431"/>
      <c r="J105" s="1431"/>
      <c r="K105" s="1431"/>
      <c r="L105" s="150">
        <f t="shared" si="0"/>
        <v>1403</v>
      </c>
      <c r="M105" s="151" t="str">
        <f t="shared" si="1"/>
        <v>BRUISING VOLKS VEH. NEUFS</v>
      </c>
      <c r="N105" s="152">
        <f>+IF(OR($Q105=Parametres!$G$2,$Q105=Parametres!$G$3),I105,C105)</f>
        <v>-155483.5</v>
      </c>
      <c r="O105" s="152">
        <f>+IF(OR($Q105=Parametres!$G$2,$Q105=Parametres!$G$3),J105,D105)</f>
        <v>-3150</v>
      </c>
      <c r="P105" s="152">
        <f>+IF(OR($Q105=Parametres!$G$2,$Q105=Parametres!$G$3),K105,E105)</f>
        <v>-158633.5</v>
      </c>
      <c r="Q105" s="151" t="str">
        <f t="shared" si="8"/>
        <v>2-Actifs</v>
      </c>
      <c r="R105" s="150" t="str">
        <f t="shared" si="8"/>
        <v>1402</v>
      </c>
      <c r="S105" s="151">
        <f t="shared" si="8"/>
        <v>0</v>
      </c>
      <c r="T105" s="153">
        <f>+VLOOKUP($L105,Data_Validation!$A:$D,1,0)</f>
        <v>1403</v>
      </c>
      <c r="U105" s="153" t="str">
        <f>+VLOOKUP($L105,Data_Validation!$A:$D,3,0)</f>
        <v>Bilan</v>
      </c>
      <c r="V105" s="153" t="str">
        <f>+VLOOKUP($L105,Data_Validation!$A:$D,4,0)</f>
        <v>Inventaire Véhicules Neufs</v>
      </c>
      <c r="W105" s="153" t="str">
        <f>+VLOOKUP($L105,Data_Validation!$A:$E,5,0)</f>
        <v>$</v>
      </c>
      <c r="X105" s="153">
        <f>+VLOOKUP($L105,Data_Validation!$A:$F,6,0)</f>
        <v>0</v>
      </c>
    </row>
    <row r="106" spans="1:24" ht="15" customHeight="1">
      <c r="A106" s="1430" t="s">
        <v>2752</v>
      </c>
      <c r="B106" s="1433">
        <v>1413</v>
      </c>
      <c r="C106" s="1432">
        <v>-69939.48</v>
      </c>
      <c r="D106" s="1432">
        <v>-6740</v>
      </c>
      <c r="E106" s="1432">
        <v>-76679.48</v>
      </c>
      <c r="F106" s="1430" t="s">
        <v>290</v>
      </c>
      <c r="G106" s="1430" t="s">
        <v>2753</v>
      </c>
      <c r="H106" s="1431"/>
      <c r="I106" s="1431"/>
      <c r="J106" s="1431"/>
      <c r="K106" s="1431"/>
      <c r="L106" s="150">
        <f t="shared" si="0"/>
        <v>1413</v>
      </c>
      <c r="M106" s="151" t="str">
        <f t="shared" si="1"/>
        <v>BRUISING USED CAR</v>
      </c>
      <c r="N106" s="152">
        <f>+IF(OR($Q106=Parametres!$G$2,$Q106=Parametres!$G$3),I106,C106)</f>
        <v>-69939.48</v>
      </c>
      <c r="O106" s="569">
        <f>+IF(OR($Q106=Parametres!$G$2,$Q106=Parametres!$G$3),J106,D106)</f>
        <v>-6740</v>
      </c>
      <c r="P106" s="152">
        <f>+IF(OR($Q106=Parametres!$G$2,$Q106=Parametres!$G$3),K106,E106)</f>
        <v>-76679.48</v>
      </c>
      <c r="Q106" s="151" t="str">
        <f t="shared" si="8"/>
        <v>2-Actifs</v>
      </c>
      <c r="R106" s="150" t="str">
        <f t="shared" si="8"/>
        <v>1413</v>
      </c>
      <c r="S106" s="151">
        <f t="shared" si="8"/>
        <v>0</v>
      </c>
      <c r="T106" s="153">
        <f>+VLOOKUP($L106,Data_Validation!$A:$D,1,0)</f>
        <v>1413</v>
      </c>
      <c r="U106" s="153" t="str">
        <f>+VLOOKUP($L106,Data_Validation!$A:$D,3,0)</f>
        <v>Bilan</v>
      </c>
      <c r="V106" s="153" t="str">
        <f>+VLOOKUP($L106,Data_Validation!$A:$D,4,0)</f>
        <v>Inventaire Véhicules Usagés</v>
      </c>
      <c r="W106" s="153" t="str">
        <f>+VLOOKUP($L106,Data_Validation!$A:$E,5,0)</f>
        <v>$</v>
      </c>
      <c r="X106" s="153">
        <f>+VLOOKUP($L106,Data_Validation!$A:$F,6,0)</f>
        <v>0</v>
      </c>
    </row>
    <row r="107" spans="1:24" ht="15" customHeight="1">
      <c r="A107" s="1430" t="s">
        <v>2817</v>
      </c>
      <c r="B107" s="1433">
        <v>1416</v>
      </c>
      <c r="C107" s="1432">
        <v>1624886.06</v>
      </c>
      <c r="D107" s="1432">
        <v>130069.21</v>
      </c>
      <c r="E107" s="1432">
        <v>1754955.27</v>
      </c>
      <c r="F107" s="1430" t="s">
        <v>290</v>
      </c>
      <c r="G107" s="1430" t="s">
        <v>2472</v>
      </c>
      <c r="H107" s="1431"/>
      <c r="I107" s="1431"/>
      <c r="J107" s="1431"/>
      <c r="K107" s="1431"/>
      <c r="L107" s="150">
        <f t="shared" si="0"/>
        <v>1416</v>
      </c>
      <c r="M107" s="151" t="str">
        <f t="shared" si="1"/>
        <v>INV. VEH. USAGE VW</v>
      </c>
      <c r="N107" s="152">
        <f>+IF(OR($Q107=Parametres!$G$2,$Q107=Parametres!$G$3),I107,C107)</f>
        <v>1624886.06</v>
      </c>
      <c r="O107" s="152">
        <f>+IF(OR($Q107=Parametres!$G$2,$Q107=Parametres!$G$3),J107,D107)</f>
        <v>130069.21</v>
      </c>
      <c r="P107" s="152">
        <f>+IF(OR($Q107=Parametres!$G$2,$Q107=Parametres!$G$3),K107,E107)</f>
        <v>1754955.27</v>
      </c>
      <c r="Q107" s="151" t="str">
        <f t="shared" si="8"/>
        <v>2-Actifs</v>
      </c>
      <c r="R107" s="150" t="str">
        <f t="shared" si="8"/>
        <v>1416</v>
      </c>
      <c r="S107" s="151">
        <f t="shared" si="8"/>
        <v>0</v>
      </c>
      <c r="T107" s="153">
        <f>+VLOOKUP($L107,Data_Validation!$A:$D,1,0)</f>
        <v>1416</v>
      </c>
      <c r="U107" s="153" t="str">
        <f>+VLOOKUP($L107,Data_Validation!$A:$D,3,0)</f>
        <v>Bilan</v>
      </c>
      <c r="V107" s="153" t="str">
        <f>+VLOOKUP($L107,Data_Validation!$A:$D,4,0)</f>
        <v>Inventaire Véhicules Usagés</v>
      </c>
      <c r="W107" s="153" t="str">
        <f>+VLOOKUP($L107,Data_Validation!$A:$E,5,0)</f>
        <v>$</v>
      </c>
      <c r="X107" s="153">
        <f>+VLOOKUP($L107,Data_Validation!$A:$F,6,0)</f>
        <v>0</v>
      </c>
    </row>
    <row r="108" spans="1:24" ht="15" customHeight="1">
      <c r="A108" s="1430" t="s">
        <v>2470</v>
      </c>
      <c r="B108" s="1430" t="s">
        <v>2471</v>
      </c>
      <c r="C108" s="1431"/>
      <c r="D108" s="1431"/>
      <c r="E108" s="1431"/>
      <c r="F108" s="1430" t="s">
        <v>4</v>
      </c>
      <c r="G108" s="1430" t="s">
        <v>2472</v>
      </c>
      <c r="H108" s="1431"/>
      <c r="I108" s="1432">
        <v>77</v>
      </c>
      <c r="J108" s="1432">
        <v>15</v>
      </c>
      <c r="K108" s="1432">
        <v>92</v>
      </c>
      <c r="L108" s="150" t="str">
        <f t="shared" si="0"/>
        <v>1416@</v>
      </c>
      <c r="M108" s="151" t="str">
        <f t="shared" si="1"/>
        <v># DE INV. VEH. USAGE VW</v>
      </c>
      <c r="N108" s="152">
        <f>+IF(OR($Q108=Parametres!$G$2,$Q108=Parametres!$G$3),I108,C108)</f>
        <v>77</v>
      </c>
      <c r="O108" s="152">
        <f>+IF(OR($Q108=Parametres!$G$2,$Q108=Parametres!$G$3),J108,D108)</f>
        <v>15</v>
      </c>
      <c r="P108" s="152">
        <f>+IF(OR($Q108=Parametres!$G$2,$Q108=Parametres!$G$3),K108,E108)</f>
        <v>92</v>
      </c>
      <c r="Q108" s="151" t="str">
        <f t="shared" si="8"/>
        <v>10-Compte compteur</v>
      </c>
      <c r="R108" s="150" t="str">
        <f t="shared" si="8"/>
        <v>1416</v>
      </c>
      <c r="S108" s="151">
        <f t="shared" si="8"/>
        <v>0</v>
      </c>
      <c r="T108" s="153" t="str">
        <f>+VLOOKUP($L108,Data_Validation!$A:$D,1,0)</f>
        <v>1416@</v>
      </c>
      <c r="U108" s="153" t="str">
        <f>+VLOOKUP($L108,Data_Validation!$A:$D,3,0)</f>
        <v>Bilan</v>
      </c>
      <c r="V108" s="153">
        <f>+VLOOKUP($L108,Data_Validation!$A:$D,4,0)</f>
        <v>0</v>
      </c>
      <c r="W108" s="153" t="str">
        <f>+VLOOKUP($L108,Data_Validation!$A:$E,5,0)</f>
        <v>NB</v>
      </c>
      <c r="X108" s="153">
        <f>+VLOOKUP($L108,Data_Validation!$A:$F,6,0)</f>
        <v>0</v>
      </c>
    </row>
    <row r="109" spans="1:24" ht="15.75" customHeight="1">
      <c r="A109" s="1430" t="s">
        <v>2886</v>
      </c>
      <c r="B109" s="1430" t="s">
        <v>2887</v>
      </c>
      <c r="C109" s="1431"/>
      <c r="D109" s="1431"/>
      <c r="E109" s="1431"/>
      <c r="F109" s="1430" t="s">
        <v>4</v>
      </c>
      <c r="G109" s="1430" t="s">
        <v>2888</v>
      </c>
      <c r="H109" s="1431"/>
      <c r="I109" s="1432">
        <v>1</v>
      </c>
      <c r="J109" s="1432">
        <v>0</v>
      </c>
      <c r="K109" s="1432">
        <v>1</v>
      </c>
      <c r="L109" s="150" t="str">
        <f t="shared" si="0"/>
        <v>1418@</v>
      </c>
      <c r="M109" s="151" t="str">
        <f t="shared" si="1"/>
        <v># DE INV.VEH.USAGE AUDI</v>
      </c>
      <c r="N109" s="152">
        <f>+IF(OR($Q109=Parametres!$G$2,$Q109=Parametres!$G$3),I109,C109)</f>
        <v>1</v>
      </c>
      <c r="O109" s="569">
        <f>+IF(OR($Q109=Parametres!$G$2,$Q109=Parametres!$G$3),J109,D109)</f>
        <v>0</v>
      </c>
      <c r="P109" s="152">
        <f>+IF(OR($Q109=Parametres!$G$2,$Q109=Parametres!$G$3),K109,E109)</f>
        <v>1</v>
      </c>
      <c r="Q109" s="151" t="str">
        <f t="shared" si="8"/>
        <v>10-Compte compteur</v>
      </c>
      <c r="R109" s="150" t="str">
        <f t="shared" si="8"/>
        <v>1418</v>
      </c>
      <c r="S109" s="151">
        <f t="shared" si="8"/>
        <v>0</v>
      </c>
      <c r="T109" s="153" t="str">
        <f>+VLOOKUP($L109,Data_Validation!$A:$D,1,0)</f>
        <v>1418@</v>
      </c>
      <c r="U109" s="153">
        <f>+VLOOKUP($L109,Data_Validation!$A:$D,3,0)</f>
        <v>0</v>
      </c>
      <c r="V109" s="153">
        <f>+VLOOKUP($L109,Data_Validation!$A:$D,4,0)</f>
        <v>0</v>
      </c>
      <c r="W109" s="153">
        <f>+VLOOKUP($L109,Data_Validation!$A:$E,5,0)</f>
        <v>0</v>
      </c>
      <c r="X109" s="153">
        <f>+VLOOKUP($L109,Data_Validation!$A:$F,6,0)</f>
        <v>0</v>
      </c>
    </row>
    <row r="110" spans="1:24" ht="15" customHeight="1">
      <c r="A110" s="1430" t="s">
        <v>2858</v>
      </c>
      <c r="B110" s="1433">
        <v>1423</v>
      </c>
      <c r="C110" s="1432">
        <v>-21506.959999999999</v>
      </c>
      <c r="D110" s="1432">
        <v>919.74</v>
      </c>
      <c r="E110" s="1432">
        <v>-20587.22</v>
      </c>
      <c r="F110" s="1430" t="s">
        <v>290</v>
      </c>
      <c r="G110" s="1430" t="s">
        <v>2859</v>
      </c>
      <c r="H110" s="1431"/>
      <c r="I110" s="1431"/>
      <c r="J110" s="1431"/>
      <c r="K110" s="1431"/>
      <c r="L110" s="150">
        <f t="shared" si="0"/>
        <v>1423</v>
      </c>
      <c r="M110" s="151" t="str">
        <f t="shared" si="1"/>
        <v>RESERVE DEMO</v>
      </c>
      <c r="N110" s="152">
        <f>+IF(OR($Q110=Parametres!$G$2,$Q110=Parametres!$G$3),I110,C110)</f>
        <v>-21506.959999999999</v>
      </c>
      <c r="O110" s="152">
        <f>+IF(OR($Q110=Parametres!$G$2,$Q110=Parametres!$G$3),J110,D110)</f>
        <v>919.74</v>
      </c>
      <c r="P110" s="152">
        <f>+IF(OR($Q110=Parametres!$G$2,$Q110=Parametres!$G$3),K110,E110)</f>
        <v>-20587.22</v>
      </c>
      <c r="Q110" s="151" t="str">
        <f t="shared" si="8"/>
        <v>2-Actifs</v>
      </c>
      <c r="R110" s="150" t="str">
        <f t="shared" si="8"/>
        <v>1423</v>
      </c>
      <c r="S110" s="151">
        <f t="shared" si="8"/>
        <v>0</v>
      </c>
      <c r="T110" s="153">
        <f>+VLOOKUP($L110,Data_Validation!$A:$D,1,0)</f>
        <v>1423</v>
      </c>
      <c r="U110" s="153" t="str">
        <f>+VLOOKUP($L110,Data_Validation!$A:$D,3,0)</f>
        <v>Bilan</v>
      </c>
      <c r="V110" s="153" t="str">
        <f>+VLOOKUP($L110,Data_Validation!$A:$D,4,0)</f>
        <v>Inventaire Véhicules Neufs</v>
      </c>
      <c r="W110" s="153" t="str">
        <f>+VLOOKUP($L110,Data_Validation!$A:$E,5,0)</f>
        <v>$</v>
      </c>
      <c r="X110" s="153">
        <f>+VLOOKUP($L110,Data_Validation!$A:$F,6,0)</f>
        <v>0</v>
      </c>
    </row>
    <row r="111" spans="1:24" ht="15" customHeight="1">
      <c r="A111" s="1430" t="s">
        <v>2860</v>
      </c>
      <c r="B111" s="1433">
        <v>1433</v>
      </c>
      <c r="C111" s="1432">
        <v>-49121.26</v>
      </c>
      <c r="D111" s="1432">
        <v>1680.16</v>
      </c>
      <c r="E111" s="1432">
        <v>-47441.1</v>
      </c>
      <c r="F111" s="1430" t="s">
        <v>290</v>
      </c>
      <c r="G111" s="1430" t="s">
        <v>2861</v>
      </c>
      <c r="H111" s="1431"/>
      <c r="I111" s="1431"/>
      <c r="J111" s="1431"/>
      <c r="K111" s="1431"/>
      <c r="L111" s="150">
        <f t="shared" si="0"/>
        <v>1433</v>
      </c>
      <c r="M111" s="151" t="str">
        <f t="shared" si="1"/>
        <v>RESERVE COURTOISIE</v>
      </c>
      <c r="N111" s="152">
        <f>+IF(OR($Q111=Parametres!$G$2,$Q111=Parametres!$G$3),I111,C111)</f>
        <v>-49121.26</v>
      </c>
      <c r="O111" s="152">
        <f>+IF(OR($Q111=Parametres!$G$2,$Q111=Parametres!$G$3),J111,D111)</f>
        <v>1680.16</v>
      </c>
      <c r="P111" s="152">
        <f>+IF(OR($Q111=Parametres!$G$2,$Q111=Parametres!$G$3),K111,E111)</f>
        <v>-47441.1</v>
      </c>
      <c r="Q111" s="151" t="str">
        <f t="shared" si="8"/>
        <v>2-Actifs</v>
      </c>
      <c r="R111" s="150" t="str">
        <f t="shared" si="8"/>
        <v>143</v>
      </c>
      <c r="S111" s="151">
        <f t="shared" si="8"/>
        <v>0</v>
      </c>
      <c r="T111" s="153">
        <f>+VLOOKUP($L111,Data_Validation!$A:$D,1,0)</f>
        <v>1433</v>
      </c>
      <c r="U111" s="153" t="str">
        <f>+VLOOKUP($L111,Data_Validation!$A:$D,3,0)</f>
        <v>Bilan</v>
      </c>
      <c r="V111" s="153" t="str">
        <f>+VLOOKUP($L111,Data_Validation!$A:$D,4,0)</f>
        <v>Inventaire Véhicules Neufs</v>
      </c>
      <c r="W111" s="153" t="str">
        <f>+VLOOKUP($L111,Data_Validation!$A:$E,5,0)</f>
        <v>$</v>
      </c>
      <c r="X111" s="153">
        <f>+VLOOKUP($L111,Data_Validation!$A:$F,6,0)</f>
        <v>0</v>
      </c>
    </row>
    <row r="112" spans="1:24" ht="15" customHeight="1">
      <c r="A112" s="1430" t="s">
        <v>2025</v>
      </c>
      <c r="B112" s="1433">
        <v>1442</v>
      </c>
      <c r="C112" s="1432">
        <v>253207.24</v>
      </c>
      <c r="D112" s="1432">
        <v>40149.53</v>
      </c>
      <c r="E112" s="1432">
        <v>293356.77</v>
      </c>
      <c r="F112" s="1430" t="s">
        <v>290</v>
      </c>
      <c r="G112" s="1430" t="s">
        <v>2026</v>
      </c>
      <c r="H112" s="1431"/>
      <c r="I112" s="1431"/>
      <c r="J112" s="1431"/>
      <c r="K112" s="1431"/>
      <c r="L112" s="150">
        <f t="shared" si="0"/>
        <v>1442</v>
      </c>
      <c r="M112" s="151" t="str">
        <f t="shared" si="1"/>
        <v>PIECES &amp; ACCESSOIRES NEUFS</v>
      </c>
      <c r="N112" s="152">
        <f>+IF(OR($Q112=Parametres!$G$2,$Q112=Parametres!$G$3),I112,C112)</f>
        <v>253207.24</v>
      </c>
      <c r="O112" s="152">
        <f>+IF(OR($Q112=Parametres!$G$2,$Q112=Parametres!$G$3),J112,D112)</f>
        <v>40149.53</v>
      </c>
      <c r="P112" s="152">
        <f>+IF(OR($Q112=Parametres!$G$2,$Q112=Parametres!$G$3),K112,E112)</f>
        <v>293356.77</v>
      </c>
      <c r="Q112" s="151" t="str">
        <f t="shared" si="8"/>
        <v>2-Actifs</v>
      </c>
      <c r="R112" s="150" t="str">
        <f t="shared" si="8"/>
        <v>1442</v>
      </c>
      <c r="S112" s="151">
        <f t="shared" si="8"/>
        <v>0</v>
      </c>
      <c r="T112" s="153">
        <f>+VLOOKUP($L112,Data_Validation!$A:$D,1,0)</f>
        <v>1442</v>
      </c>
      <c r="U112" s="153" t="str">
        <f>+VLOOKUP($L112,Data_Validation!$A:$D,3,0)</f>
        <v>Bilan</v>
      </c>
      <c r="V112" s="153" t="str">
        <f>+VLOOKUP($L112,Data_Validation!$A:$D,4,0)</f>
        <v>Inventaire Pièces, Pneus, Huile</v>
      </c>
      <c r="W112" s="153" t="str">
        <f>+VLOOKUP($L112,Data_Validation!$A:$E,5,0)</f>
        <v>$</v>
      </c>
      <c r="X112" s="153">
        <f>+VLOOKUP($L112,Data_Validation!$A:$F,6,0)</f>
        <v>0</v>
      </c>
    </row>
    <row r="113" spans="1:24" ht="15.75" customHeight="1">
      <c r="A113" s="1430" t="s">
        <v>2862</v>
      </c>
      <c r="B113" s="1433">
        <v>1448</v>
      </c>
      <c r="C113" s="1432">
        <v>-52571.29</v>
      </c>
      <c r="D113" s="1432">
        <v>52571.29</v>
      </c>
      <c r="E113" s="1432">
        <v>0</v>
      </c>
      <c r="F113" s="1430" t="s">
        <v>290</v>
      </c>
      <c r="G113" s="1430" t="s">
        <v>2026</v>
      </c>
      <c r="H113" s="1235"/>
      <c r="I113" s="1236"/>
      <c r="J113" s="1236"/>
      <c r="K113" s="1236"/>
      <c r="L113" s="150">
        <f t="shared" si="0"/>
        <v>1448</v>
      </c>
      <c r="M113" s="151" t="str">
        <f t="shared" si="1"/>
        <v>AUTRES MARQUES P&amp;A</v>
      </c>
      <c r="N113" s="152">
        <f>+IF(OR($Q113=Parametres!$G$2,$Q113=Parametres!$G$3),I113,C113)</f>
        <v>-52571.29</v>
      </c>
      <c r="O113" s="569">
        <f>+IF(OR($Q113=Parametres!$G$2,$Q113=Parametres!$G$3),J113,D113)</f>
        <v>52571.29</v>
      </c>
      <c r="P113" s="152">
        <f>+IF(OR($Q113=Parametres!$G$2,$Q113=Parametres!$G$3),K113,E113)</f>
        <v>0</v>
      </c>
      <c r="Q113" s="151" t="str">
        <f t="shared" si="8"/>
        <v>2-Actifs</v>
      </c>
      <c r="R113" s="150" t="str">
        <f t="shared" si="8"/>
        <v>1442</v>
      </c>
      <c r="S113" s="151">
        <f t="shared" si="8"/>
        <v>0</v>
      </c>
      <c r="T113" s="153">
        <f>+VLOOKUP($L113,Data_Validation!$A:$D,1,0)</f>
        <v>1448</v>
      </c>
      <c r="U113" s="153" t="str">
        <f>+VLOOKUP($L113,Data_Validation!$A:$D,3,0)</f>
        <v>Bilan</v>
      </c>
      <c r="V113" s="153" t="str">
        <f>+VLOOKUP($L113,Data_Validation!$A:$D,4,0)</f>
        <v>Inventaire Pièces, Pneus, Huile</v>
      </c>
      <c r="W113" s="153" t="str">
        <f>+VLOOKUP($L113,Data_Validation!$A:$E,5,0)</f>
        <v>$</v>
      </c>
      <c r="X113" s="153">
        <f>+VLOOKUP($L113,Data_Validation!$A:$F,6,0)</f>
        <v>0</v>
      </c>
    </row>
    <row r="114" spans="1:24" ht="15" customHeight="1">
      <c r="A114" s="1430" t="s">
        <v>2815</v>
      </c>
      <c r="B114" s="1433">
        <v>1452</v>
      </c>
      <c r="C114" s="1432">
        <v>111229.25</v>
      </c>
      <c r="D114" s="1432">
        <v>-85219.66</v>
      </c>
      <c r="E114" s="1432">
        <v>26009.59</v>
      </c>
      <c r="F114" s="1430" t="s">
        <v>290</v>
      </c>
      <c r="G114" s="1430" t="s">
        <v>2026</v>
      </c>
      <c r="H114" s="1235"/>
      <c r="I114" s="1236"/>
      <c r="J114" s="1236"/>
      <c r="K114" s="1236"/>
      <c r="L114" s="150">
        <f t="shared" si="0"/>
        <v>1452</v>
      </c>
      <c r="M114" s="573" t="str">
        <f t="shared" si="1"/>
        <v>PNEUS</v>
      </c>
      <c r="N114" s="152">
        <f>+IF(OR($Q114=Parametres!$G$2,$Q114=Parametres!$G$3),I114,C114)</f>
        <v>111229.25</v>
      </c>
      <c r="O114" s="574">
        <f>+IF(OR($Q114=Parametres!$G$2,$Q114=Parametres!$G$3),J114,D114)</f>
        <v>-85219.66</v>
      </c>
      <c r="P114" s="575">
        <f>+IF(OR($Q114=Parametres!$G$2,$Q114=Parametres!$G$3),K114,E114)</f>
        <v>26009.59</v>
      </c>
      <c r="Q114" s="151" t="str">
        <f t="shared" ref="Q114:S129" si="9">+F114</f>
        <v>2-Actifs</v>
      </c>
      <c r="R114" s="150" t="str">
        <f t="shared" si="9"/>
        <v>1442</v>
      </c>
      <c r="S114" s="151">
        <f t="shared" si="9"/>
        <v>0</v>
      </c>
      <c r="T114" s="153">
        <f>+VLOOKUP($L114,Data_Validation!$A:$D,1,0)</f>
        <v>1452</v>
      </c>
      <c r="U114" s="153" t="str">
        <f>+VLOOKUP($L114,Data_Validation!$A:$D,3,0)</f>
        <v>Bilan</v>
      </c>
      <c r="V114" s="153" t="str">
        <f>+VLOOKUP($L114,Data_Validation!$A:$D,4,0)</f>
        <v>Inventaire Pièces, Pneus, Huile</v>
      </c>
      <c r="W114" s="153" t="str">
        <f>+VLOOKUP($L114,Data_Validation!$A:$E,5,0)</f>
        <v>$</v>
      </c>
      <c r="X114" s="153">
        <f>+VLOOKUP($L114,Data_Validation!$A:$F,6,0)</f>
        <v>0</v>
      </c>
    </row>
    <row r="115" spans="1:24" ht="15" customHeight="1">
      <c r="A115" s="1430" t="s">
        <v>2731</v>
      </c>
      <c r="B115" s="1433">
        <v>1456</v>
      </c>
      <c r="C115" s="1432">
        <v>44062.91</v>
      </c>
      <c r="D115" s="1432">
        <v>-34567.5</v>
      </c>
      <c r="E115" s="1432">
        <v>9495.41</v>
      </c>
      <c r="F115" s="1430" t="s">
        <v>290</v>
      </c>
      <c r="G115" s="1430" t="s">
        <v>2732</v>
      </c>
      <c r="H115" s="1235"/>
      <c r="I115" s="1236"/>
      <c r="J115" s="1236"/>
      <c r="K115" s="1236"/>
      <c r="L115" s="150">
        <f t="shared" si="0"/>
        <v>1456</v>
      </c>
      <c r="M115" s="151" t="str">
        <f t="shared" si="1"/>
        <v>PIECES VW NON ORIGINE</v>
      </c>
      <c r="N115" s="152">
        <f>+IF(OR($Q115=Parametres!$G$2,$Q115=Parametres!$G$3),I115,C115)</f>
        <v>44062.91</v>
      </c>
      <c r="O115" s="152">
        <f>+IF(OR($Q115=Parametres!$G$2,$Q115=Parametres!$G$3),J115,D115)</f>
        <v>-34567.5</v>
      </c>
      <c r="P115" s="152">
        <f>+IF(OR($Q115=Parametres!$G$2,$Q115=Parametres!$G$3),K115,E115)</f>
        <v>9495.41</v>
      </c>
      <c r="Q115" s="151" t="str">
        <f t="shared" si="9"/>
        <v>2-Actifs</v>
      </c>
      <c r="R115" s="150" t="str">
        <f t="shared" si="9"/>
        <v>1456</v>
      </c>
      <c r="S115" s="151">
        <f t="shared" si="9"/>
        <v>0</v>
      </c>
      <c r="T115" s="153">
        <f>+VLOOKUP($L115,Data_Validation!$A:$D,1,0)</f>
        <v>1456</v>
      </c>
      <c r="U115" s="153" t="str">
        <f>+VLOOKUP($L115,Data_Validation!$A:$D,3,0)</f>
        <v>Bilan</v>
      </c>
      <c r="V115" s="153" t="str">
        <f>+VLOOKUP($L115,Data_Validation!$A:$D,4,0)</f>
        <v>Inventaire Pièces, Pneus, Huile</v>
      </c>
      <c r="W115" s="153" t="str">
        <f>+VLOOKUP($L115,Data_Validation!$A:$E,5,0)</f>
        <v>$</v>
      </c>
      <c r="X115" s="153">
        <f>+VLOOKUP($L115,Data_Validation!$A:$F,6,0)</f>
        <v>0</v>
      </c>
    </row>
    <row r="116" spans="1:24" ht="15" customHeight="1">
      <c r="A116" s="1430" t="s">
        <v>2580</v>
      </c>
      <c r="B116" s="1433">
        <v>1472</v>
      </c>
      <c r="C116" s="1432">
        <v>4045.94</v>
      </c>
      <c r="D116" s="1432">
        <v>-257.62</v>
      </c>
      <c r="E116" s="1432">
        <v>3788.32</v>
      </c>
      <c r="F116" s="1430" t="s">
        <v>290</v>
      </c>
      <c r="G116" s="1430" t="s">
        <v>2581</v>
      </c>
      <c r="H116" s="1235"/>
      <c r="I116" s="1236"/>
      <c r="J116" s="1236"/>
      <c r="K116" s="1236"/>
      <c r="L116" s="150">
        <f t="shared" si="0"/>
        <v>1472</v>
      </c>
      <c r="M116" s="151" t="str">
        <f t="shared" si="1"/>
        <v>WIP M-O VW</v>
      </c>
      <c r="N116" s="152">
        <f>+IF(OR($Q116=Parametres!$G$2,$Q116=Parametres!$G$3),I116,C116)</f>
        <v>4045.94</v>
      </c>
      <c r="O116" s="152">
        <f>+IF(OR($Q116=Parametres!$G$2,$Q116=Parametres!$G$3),J116,D116)</f>
        <v>-257.62</v>
      </c>
      <c r="P116" s="152">
        <f>+IF(OR($Q116=Parametres!$G$2,$Q116=Parametres!$G$3),K116,E116)</f>
        <v>3788.32</v>
      </c>
      <c r="Q116" s="151" t="str">
        <f t="shared" si="9"/>
        <v>2-Actifs</v>
      </c>
      <c r="R116" s="150" t="str">
        <f t="shared" si="9"/>
        <v>1472</v>
      </c>
      <c r="S116" s="151">
        <f t="shared" si="9"/>
        <v>0</v>
      </c>
      <c r="T116" s="153">
        <f>+VLOOKUP($L116,Data_Validation!$A:$D,1,0)</f>
        <v>1472</v>
      </c>
      <c r="U116" s="153" t="str">
        <f>+VLOOKUP($L116,Data_Validation!$A:$D,3,0)</f>
        <v>Bilan</v>
      </c>
      <c r="V116" s="153" t="str">
        <f>+VLOOKUP($L116,Data_Validation!$A:$D,4,0)</f>
        <v>Travaux en Cours</v>
      </c>
      <c r="W116" s="153" t="str">
        <f>+VLOOKUP($L116,Data_Validation!$A:$E,5,0)</f>
        <v>$</v>
      </c>
      <c r="X116" s="153">
        <f>+VLOOKUP($L116,Data_Validation!$A:$F,6,0)</f>
        <v>0</v>
      </c>
    </row>
    <row r="117" spans="1:24" ht="15.75" customHeight="1">
      <c r="A117" s="1430" t="s">
        <v>2754</v>
      </c>
      <c r="B117" s="1433">
        <v>1474</v>
      </c>
      <c r="C117" s="1432">
        <v>24026.39</v>
      </c>
      <c r="D117" s="1432">
        <v>-11701.84</v>
      </c>
      <c r="E117" s="1432">
        <v>12324.55</v>
      </c>
      <c r="F117" s="1430" t="s">
        <v>290</v>
      </c>
      <c r="G117" s="1430" t="s">
        <v>2581</v>
      </c>
      <c r="H117" s="1235"/>
      <c r="I117" s="1236"/>
      <c r="J117" s="1236"/>
      <c r="K117" s="1236"/>
      <c r="L117" s="150">
        <f t="shared" si="0"/>
        <v>1474</v>
      </c>
      <c r="M117" s="573" t="str">
        <f t="shared" si="1"/>
        <v>INVENTAIRE SOUS-TRAITANTS</v>
      </c>
      <c r="N117" s="152">
        <f>+IF(OR($Q117=Parametres!$G$2,$Q117=Parametres!$G$3),I117,C117)</f>
        <v>24026.39</v>
      </c>
      <c r="O117" s="574">
        <f>+IF(OR($Q117=Parametres!$G$2,$Q117=Parametres!$G$3),J117,D117)</f>
        <v>-11701.84</v>
      </c>
      <c r="P117" s="575">
        <f>+IF(OR($Q117=Parametres!$G$2,$Q117=Parametres!$G$3),K117,E117)</f>
        <v>12324.55</v>
      </c>
      <c r="Q117" s="151" t="str">
        <f t="shared" si="9"/>
        <v>2-Actifs</v>
      </c>
      <c r="R117" s="150" t="str">
        <f t="shared" si="9"/>
        <v>1472</v>
      </c>
      <c r="S117" s="151">
        <f t="shared" si="9"/>
        <v>0</v>
      </c>
      <c r="T117" s="153">
        <f>+VLOOKUP($L117,Data_Validation!$A:$D,1,0)</f>
        <v>1474</v>
      </c>
      <c r="U117" s="153" t="str">
        <f>+VLOOKUP($L117,Data_Validation!$A:$D,3,0)</f>
        <v>Bilan</v>
      </c>
      <c r="V117" s="153" t="str">
        <f>+VLOOKUP($L117,Data_Validation!$A:$D,4,0)</f>
        <v>Sous-Traitance</v>
      </c>
      <c r="W117" s="153" t="str">
        <f>+VLOOKUP($L117,Data_Validation!$A:$E,5,0)</f>
        <v>$</v>
      </c>
      <c r="X117" s="153">
        <f>+VLOOKUP($L117,Data_Validation!$A:$F,6,0)</f>
        <v>0</v>
      </c>
    </row>
    <row r="118" spans="1:24" ht="15" customHeight="1">
      <c r="A118" s="1430" t="s">
        <v>2133</v>
      </c>
      <c r="B118" s="1433">
        <v>1492</v>
      </c>
      <c r="C118" s="1432">
        <v>18244.5</v>
      </c>
      <c r="D118" s="1432">
        <v>870.88</v>
      </c>
      <c r="E118" s="1432">
        <v>19115.38</v>
      </c>
      <c r="F118" s="1430" t="s">
        <v>290</v>
      </c>
      <c r="G118" s="1430" t="s">
        <v>2026</v>
      </c>
      <c r="H118" s="1235"/>
      <c r="I118" s="1236"/>
      <c r="J118" s="1236"/>
      <c r="K118" s="1236"/>
      <c r="L118" s="150">
        <f t="shared" si="0"/>
        <v>1492</v>
      </c>
      <c r="M118" s="151" t="str">
        <f t="shared" si="1"/>
        <v>CARBURANT, HUILE, GRAISSE</v>
      </c>
      <c r="N118" s="152">
        <f>+IF(OR($Q118=Parametres!$G$2,$Q118=Parametres!$G$3),I118,C118)</f>
        <v>18244.5</v>
      </c>
      <c r="O118" s="569">
        <f>+IF(OR($Q118=Parametres!$G$2,$Q118=Parametres!$G$3),J118,D118)</f>
        <v>870.88</v>
      </c>
      <c r="P118" s="152">
        <f>+IF(OR($Q118=Parametres!$G$2,$Q118=Parametres!$G$3),K118,E118)</f>
        <v>19115.38</v>
      </c>
      <c r="Q118" s="151" t="str">
        <f t="shared" si="9"/>
        <v>2-Actifs</v>
      </c>
      <c r="R118" s="150" t="str">
        <f t="shared" si="9"/>
        <v>1442</v>
      </c>
      <c r="S118" s="151">
        <f t="shared" si="9"/>
        <v>0</v>
      </c>
      <c r="T118" s="153">
        <f>+VLOOKUP($L118,Data_Validation!$A:$D,1,0)</f>
        <v>1492</v>
      </c>
      <c r="U118" s="153" t="str">
        <f>+VLOOKUP($L118,Data_Validation!$A:$D,3,0)</f>
        <v>Bilan</v>
      </c>
      <c r="V118" s="153" t="str">
        <f>+VLOOKUP($L118,Data_Validation!$A:$D,4,0)</f>
        <v>Inventaire Pièces, Pneus, Huile</v>
      </c>
      <c r="W118" s="153" t="str">
        <f>+VLOOKUP($L118,Data_Validation!$A:$E,5,0)</f>
        <v>$</v>
      </c>
      <c r="X118" s="153">
        <f>+VLOOKUP($L118,Data_Validation!$A:$F,6,0)</f>
        <v>0</v>
      </c>
    </row>
    <row r="119" spans="1:24" ht="15" customHeight="1">
      <c r="A119" s="1430" t="s">
        <v>2682</v>
      </c>
      <c r="B119" s="1433">
        <v>1498</v>
      </c>
      <c r="C119" s="1432">
        <v>20.43</v>
      </c>
      <c r="D119" s="1432">
        <v>-20.43</v>
      </c>
      <c r="E119" s="1432">
        <v>0</v>
      </c>
      <c r="F119" s="1430" t="s">
        <v>290</v>
      </c>
      <c r="G119" s="1430" t="s">
        <v>2683</v>
      </c>
      <c r="H119" s="1235"/>
      <c r="I119" s="1236"/>
      <c r="J119" s="1236"/>
      <c r="K119" s="1236"/>
      <c r="L119" s="150">
        <f t="shared" si="0"/>
        <v>1498</v>
      </c>
      <c r="M119" s="151" t="str">
        <f t="shared" si="1"/>
        <v>AUTRES INVENTAIRES</v>
      </c>
      <c r="N119" s="152">
        <f>+IF(OR($Q119=Parametres!$G$2,$Q119=Parametres!$G$3),I119,C119)</f>
        <v>20.43</v>
      </c>
      <c r="O119" s="569">
        <f>+IF(OR($Q119=Parametres!$G$2,$Q119=Parametres!$G$3),J119,D119)</f>
        <v>-20.43</v>
      </c>
      <c r="P119" s="152">
        <f>+IF(OR($Q119=Parametres!$G$2,$Q119=Parametres!$G$3),K119,E119)</f>
        <v>0</v>
      </c>
      <c r="Q119" s="151" t="str">
        <f t="shared" si="9"/>
        <v>2-Actifs</v>
      </c>
      <c r="R119" s="150" t="str">
        <f t="shared" si="9"/>
        <v>1498</v>
      </c>
      <c r="S119" s="151">
        <f t="shared" si="9"/>
        <v>0</v>
      </c>
      <c r="T119" s="153">
        <f>+VLOOKUP($L119,Data_Validation!$A:$D,1,0)</f>
        <v>1498</v>
      </c>
      <c r="U119" s="153" t="str">
        <f>+VLOOKUP($L119,Data_Validation!$A:$D,3,0)</f>
        <v>Bilan</v>
      </c>
      <c r="V119" s="153" t="str">
        <f>+VLOOKUP($L119,Data_Validation!$A:$D,4,0)</f>
        <v>Inventaire Pièces, Pneus, Huile</v>
      </c>
      <c r="W119" s="153" t="str">
        <f>+VLOOKUP($L119,Data_Validation!$A:$E,5,0)</f>
        <v>$</v>
      </c>
      <c r="X119" s="153">
        <f>+VLOOKUP($L119,Data_Validation!$A:$F,6,0)</f>
        <v>0</v>
      </c>
    </row>
    <row r="120" spans="1:24" ht="15" customHeight="1">
      <c r="A120" s="1430" t="s">
        <v>2097</v>
      </c>
      <c r="B120" s="1433">
        <v>1502</v>
      </c>
      <c r="C120" s="1432">
        <v>-1154.8</v>
      </c>
      <c r="D120" s="1432">
        <v>49.95</v>
      </c>
      <c r="E120" s="1432">
        <v>-1104.8499999999999</v>
      </c>
      <c r="F120" s="1430" t="s">
        <v>290</v>
      </c>
      <c r="G120" s="1430" t="s">
        <v>2099</v>
      </c>
      <c r="H120" s="1235"/>
      <c r="I120" s="1236"/>
      <c r="J120" s="1236"/>
      <c r="K120" s="1236"/>
      <c r="L120" s="150">
        <f t="shared" si="0"/>
        <v>1502</v>
      </c>
      <c r="M120" s="151" t="str">
        <f t="shared" si="1"/>
        <v>FPA PUB.VEHICULES NEUFS</v>
      </c>
      <c r="N120" s="152">
        <f>+IF(OR($Q120=Parametres!$G$2,$Q120=Parametres!$G$3),I120,C120)</f>
        <v>-1154.8</v>
      </c>
      <c r="O120" s="152">
        <f>+IF(OR($Q120=Parametres!$G$2,$Q120=Parametres!$G$3),J120,D120)</f>
        <v>49.95</v>
      </c>
      <c r="P120" s="152">
        <f>+IF(OR($Q120=Parametres!$G$2,$Q120=Parametres!$G$3),K120,E120)</f>
        <v>-1104.8499999999999</v>
      </c>
      <c r="Q120" s="151" t="str">
        <f t="shared" si="9"/>
        <v>2-Actifs</v>
      </c>
      <c r="R120" s="150" t="str">
        <f t="shared" si="9"/>
        <v>1500</v>
      </c>
      <c r="S120" s="151">
        <f t="shared" si="9"/>
        <v>0</v>
      </c>
      <c r="T120" s="153">
        <f>+VLOOKUP($L120,Data_Validation!$A:$D,1,0)</f>
        <v>1502</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430" t="s">
        <v>2123</v>
      </c>
      <c r="B121" s="1433">
        <v>1504</v>
      </c>
      <c r="C121" s="1432">
        <v>-1240</v>
      </c>
      <c r="D121" s="1432">
        <v>-459</v>
      </c>
      <c r="E121" s="1432">
        <v>-1699</v>
      </c>
      <c r="F121" s="1430" t="s">
        <v>290</v>
      </c>
      <c r="G121" s="1430" t="s">
        <v>2099</v>
      </c>
      <c r="H121" s="1235"/>
      <c r="I121" s="1236"/>
      <c r="J121" s="1236"/>
      <c r="K121" s="1236"/>
      <c r="L121" s="150">
        <f t="shared" si="0"/>
        <v>1504</v>
      </c>
      <c r="M121" s="151" t="str">
        <f t="shared" si="1"/>
        <v>PUBLICITE VEH USAGES</v>
      </c>
      <c r="N121" s="152">
        <f>+IF(OR($Q121=Parametres!$G$2,$Q121=Parametres!$G$3),I121,C121)</f>
        <v>-1240</v>
      </c>
      <c r="O121" s="152">
        <f>+IF(OR($Q121=Parametres!$G$2,$Q121=Parametres!$G$3),J121,D121)</f>
        <v>-459</v>
      </c>
      <c r="P121" s="152">
        <f>+IF(OR($Q121=Parametres!$G$2,$Q121=Parametres!$G$3),K121,E121)</f>
        <v>-1699</v>
      </c>
      <c r="Q121" s="151" t="str">
        <f t="shared" si="9"/>
        <v>2-Actifs</v>
      </c>
      <c r="R121" s="150" t="str">
        <f t="shared" si="9"/>
        <v>1500</v>
      </c>
      <c r="S121" s="151">
        <f t="shared" si="9"/>
        <v>0</v>
      </c>
      <c r="T121" s="153">
        <f>+VLOOKUP($L121,Data_Validation!$A:$D,1,0)</f>
        <v>1504</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430" t="s">
        <v>2797</v>
      </c>
      <c r="B122" s="1433">
        <v>1506</v>
      </c>
      <c r="C122" s="1432">
        <v>0</v>
      </c>
      <c r="D122" s="1432">
        <v>-4454.1499999999996</v>
      </c>
      <c r="E122" s="1432">
        <v>-4454.1499999999996</v>
      </c>
      <c r="F122" s="1430" t="s">
        <v>290</v>
      </c>
      <c r="G122" s="1430" t="s">
        <v>2099</v>
      </c>
      <c r="H122" s="1235"/>
      <c r="I122" s="1236"/>
      <c r="J122" s="1236"/>
      <c r="K122" s="1236"/>
      <c r="L122" s="150">
        <f t="shared" si="0"/>
        <v>1506</v>
      </c>
      <c r="M122" s="151" t="str">
        <f t="shared" si="1"/>
        <v>FPA PUBLICITE SERVICE</v>
      </c>
      <c r="N122" s="152">
        <f>+IF(OR($Q122=Parametres!$G$2,$Q122=Parametres!$G$3),I122,C122)</f>
        <v>0</v>
      </c>
      <c r="O122" s="152">
        <f>+IF(OR($Q122=Parametres!$G$2,$Q122=Parametres!$G$3),J122,D122)</f>
        <v>-4454.1499999999996</v>
      </c>
      <c r="P122" s="152">
        <f>+IF(OR($Q122=Parametres!$G$2,$Q122=Parametres!$G$3),K122,E122)</f>
        <v>-4454.1499999999996</v>
      </c>
      <c r="Q122" s="151" t="str">
        <f t="shared" si="9"/>
        <v>2-Actifs</v>
      </c>
      <c r="R122" s="150" t="str">
        <f t="shared" si="9"/>
        <v>1500</v>
      </c>
      <c r="S122" s="151">
        <f t="shared" si="9"/>
        <v>0</v>
      </c>
      <c r="T122" s="153">
        <f>+VLOOKUP($L122,Data_Validation!$A:$D,1,0)</f>
        <v>1506</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430" t="s">
        <v>2633</v>
      </c>
      <c r="B123" s="1433">
        <v>1510</v>
      </c>
      <c r="C123" s="1432">
        <v>3099.95</v>
      </c>
      <c r="D123" s="1432">
        <v>-140</v>
      </c>
      <c r="E123" s="1432">
        <v>2959.95</v>
      </c>
      <c r="F123" s="1430" t="s">
        <v>290</v>
      </c>
      <c r="G123" s="1430" t="s">
        <v>2099</v>
      </c>
      <c r="H123" s="1235"/>
      <c r="I123" s="1236"/>
      <c r="J123" s="1236"/>
      <c r="K123" s="1236"/>
      <c r="L123" s="150">
        <f t="shared" si="0"/>
        <v>1510</v>
      </c>
      <c r="M123" s="151" t="str">
        <f t="shared" si="1"/>
        <v>DIAMOND KOTE (NANO)</v>
      </c>
      <c r="N123" s="152">
        <f>+IF(OR($Q123=Parametres!$G$2,$Q123=Parametres!$G$3),I123,C123)</f>
        <v>3099.95</v>
      </c>
      <c r="O123" s="152">
        <f>+IF(OR($Q123=Parametres!$G$2,$Q123=Parametres!$G$3),J123,D123)</f>
        <v>-140</v>
      </c>
      <c r="P123" s="152">
        <f>+IF(OR($Q123=Parametres!$G$2,$Q123=Parametres!$G$3),K123,E123)</f>
        <v>2959.95</v>
      </c>
      <c r="Q123" s="151" t="str">
        <f t="shared" si="9"/>
        <v>2-Actifs</v>
      </c>
      <c r="R123" s="150" t="str">
        <f t="shared" si="9"/>
        <v>1500</v>
      </c>
      <c r="S123" s="151">
        <f t="shared" si="9"/>
        <v>0</v>
      </c>
      <c r="T123" s="153">
        <f>+VLOOKUP($L123,Data_Validation!$A:$D,1,0)</f>
        <v>1510</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430" t="s">
        <v>2145</v>
      </c>
      <c r="B124" s="1433">
        <v>1520</v>
      </c>
      <c r="C124" s="1432">
        <v>1908.35</v>
      </c>
      <c r="D124" s="1432">
        <v>-482.65</v>
      </c>
      <c r="E124" s="1432">
        <v>1425.7</v>
      </c>
      <c r="F124" s="1430" t="s">
        <v>290</v>
      </c>
      <c r="G124" s="1430" t="s">
        <v>2099</v>
      </c>
      <c r="H124" s="1235"/>
      <c r="I124" s="1236"/>
      <c r="J124" s="1236"/>
      <c r="K124" s="1236"/>
      <c r="L124" s="150">
        <f t="shared" si="0"/>
        <v>1520</v>
      </c>
      <c r="M124" s="151" t="str">
        <f t="shared" si="1"/>
        <v>FPA IMMATRICULATION</v>
      </c>
      <c r="N124" s="152">
        <f>+IF(OR($Q124=Parametres!$G$2,$Q124=Parametres!$G$3),I124,C124)</f>
        <v>1908.35</v>
      </c>
      <c r="O124" s="152">
        <f>+IF(OR($Q124=Parametres!$G$2,$Q124=Parametres!$G$3),J124,D124)</f>
        <v>-482.65</v>
      </c>
      <c r="P124" s="152">
        <f>+IF(OR($Q124=Parametres!$G$2,$Q124=Parametres!$G$3),K124,E124)</f>
        <v>1425.7</v>
      </c>
      <c r="Q124" s="151" t="str">
        <f t="shared" si="9"/>
        <v>2-Actifs</v>
      </c>
      <c r="R124" s="150" t="str">
        <f t="shared" si="9"/>
        <v>1500</v>
      </c>
      <c r="S124" s="151">
        <f t="shared" si="9"/>
        <v>0</v>
      </c>
      <c r="T124" s="153">
        <f>+VLOOKUP($L124,Data_Validation!$A:$D,1,0)</f>
        <v>1520</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430" t="s">
        <v>2596</v>
      </c>
      <c r="B125" s="1433">
        <v>1530</v>
      </c>
      <c r="C125" s="1432">
        <v>-85</v>
      </c>
      <c r="D125" s="1432">
        <v>0</v>
      </c>
      <c r="E125" s="1432">
        <v>-85</v>
      </c>
      <c r="F125" s="1430" t="s">
        <v>290</v>
      </c>
      <c r="G125" s="1430" t="s">
        <v>2099</v>
      </c>
      <c r="H125" s="1235"/>
      <c r="I125" s="1236"/>
      <c r="J125" s="1236"/>
      <c r="K125" s="1236"/>
      <c r="L125" s="150">
        <f t="shared" si="0"/>
        <v>1530</v>
      </c>
      <c r="M125" s="151" t="str">
        <f t="shared" si="1"/>
        <v>FPA PAPETERIE</v>
      </c>
      <c r="N125" s="152">
        <f>+IF(OR($Q125=Parametres!$G$2,$Q125=Parametres!$G$3),I125,C125)</f>
        <v>-85</v>
      </c>
      <c r="O125" s="569">
        <f>+IF(OR($Q125=Parametres!$G$2,$Q125=Parametres!$G$3),J125,D125)</f>
        <v>0</v>
      </c>
      <c r="P125" s="152">
        <f>+IF(OR($Q125=Parametres!$G$2,$Q125=Parametres!$G$3),K125,E125)</f>
        <v>-85</v>
      </c>
      <c r="Q125" s="151" t="str">
        <f t="shared" si="9"/>
        <v>2-Actifs</v>
      </c>
      <c r="R125" s="150" t="str">
        <f t="shared" si="9"/>
        <v>1500</v>
      </c>
      <c r="S125" s="151">
        <f t="shared" si="9"/>
        <v>0</v>
      </c>
      <c r="T125" s="153">
        <f>+VLOOKUP($L125,Data_Validation!$A:$D,1,0)</f>
        <v>1530</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430" t="s">
        <v>2174</v>
      </c>
      <c r="B126" s="1433">
        <v>1532</v>
      </c>
      <c r="C126" s="1432">
        <v>1769.3</v>
      </c>
      <c r="D126" s="1432">
        <v>-1769.3</v>
      </c>
      <c r="E126" s="1432">
        <v>0</v>
      </c>
      <c r="F126" s="1430" t="s">
        <v>290</v>
      </c>
      <c r="G126" s="1430" t="s">
        <v>2099</v>
      </c>
      <c r="H126" s="1235"/>
      <c r="I126" s="1236"/>
      <c r="J126" s="1236"/>
      <c r="K126" s="1236"/>
      <c r="L126" s="150">
        <f t="shared" si="0"/>
        <v>1532</v>
      </c>
      <c r="M126" s="151" t="str">
        <f t="shared" si="1"/>
        <v>FPA C.C.A.M.Q.</v>
      </c>
      <c r="N126" s="152">
        <f>+IF(OR($Q126=Parametres!$G$2,$Q126=Parametres!$G$3),I126,C126)</f>
        <v>1769.3</v>
      </c>
      <c r="O126" s="569">
        <f>+IF(OR($Q126=Parametres!$G$2,$Q126=Parametres!$G$3),J126,D126)</f>
        <v>-1769.3</v>
      </c>
      <c r="P126" s="152">
        <f>+IF(OR($Q126=Parametres!$G$2,$Q126=Parametres!$G$3),K126,E126)</f>
        <v>0</v>
      </c>
      <c r="Q126" s="151" t="str">
        <f t="shared" si="9"/>
        <v>2-Actifs</v>
      </c>
      <c r="R126" s="150" t="str">
        <f t="shared" si="9"/>
        <v>1500</v>
      </c>
      <c r="S126" s="151">
        <f t="shared" si="9"/>
        <v>0</v>
      </c>
      <c r="T126" s="153">
        <f>+VLOOKUP($L126,Data_Validation!$A:$D,1,0)</f>
        <v>1532</v>
      </c>
      <c r="U126" s="153" t="str">
        <f>+VLOOKUP($L126,Data_Validation!$A:$D,3,0)</f>
        <v>Bilan</v>
      </c>
      <c r="V126" s="153" t="str">
        <f>+VLOOKUP($L126,Data_Validation!$A:$D,4,0)</f>
        <v>Frais Payés d'Avance</v>
      </c>
      <c r="W126" s="153" t="str">
        <f>+VLOOKUP($L126,Data_Validation!$A:$E,5,0)</f>
        <v>$</v>
      </c>
      <c r="X126" s="153">
        <f>+VLOOKUP($L126,Data_Validation!$A:$F,6,0)</f>
        <v>0</v>
      </c>
    </row>
    <row r="127" spans="1:24" ht="15" customHeight="1">
      <c r="A127" s="1430" t="s">
        <v>2192</v>
      </c>
      <c r="B127" s="1433">
        <v>1534</v>
      </c>
      <c r="C127" s="1432">
        <v>-95.19</v>
      </c>
      <c r="D127" s="1432">
        <v>95.19</v>
      </c>
      <c r="E127" s="1432">
        <v>0</v>
      </c>
      <c r="F127" s="1430" t="s">
        <v>290</v>
      </c>
      <c r="G127" s="1430" t="s">
        <v>2099</v>
      </c>
      <c r="H127" s="1235"/>
      <c r="I127" s="1236"/>
      <c r="J127" s="1236"/>
      <c r="K127" s="1236"/>
      <c r="L127" s="150">
        <f t="shared" si="0"/>
        <v>1534</v>
      </c>
      <c r="M127" s="151" t="str">
        <f t="shared" si="1"/>
        <v>FPA FOURNITURES LAVAGE</v>
      </c>
      <c r="N127" s="152">
        <f>+IF(OR($Q127=Parametres!$G$2,$Q127=Parametres!$G$3),I127,C127)</f>
        <v>-95.19</v>
      </c>
      <c r="O127" s="152">
        <f>+IF(OR($Q127=Parametres!$G$2,$Q127=Parametres!$G$3),J127,D127)</f>
        <v>95.19</v>
      </c>
      <c r="P127" s="152">
        <f>+IF(OR($Q127=Parametres!$G$2,$Q127=Parametres!$G$3),K127,E127)</f>
        <v>0</v>
      </c>
      <c r="Q127" s="151" t="str">
        <f t="shared" si="9"/>
        <v>2-Actifs</v>
      </c>
      <c r="R127" s="150" t="str">
        <f t="shared" si="9"/>
        <v>1500</v>
      </c>
      <c r="S127" s="151">
        <f t="shared" si="9"/>
        <v>0</v>
      </c>
      <c r="T127" s="153">
        <f>+VLOOKUP($L127,Data_Validation!$A:$D,1,0)</f>
        <v>1534</v>
      </c>
      <c r="U127" s="153" t="str">
        <f>+VLOOKUP($L127,Data_Validation!$A:$D,3,0)</f>
        <v>Bilan</v>
      </c>
      <c r="V127" s="153" t="str">
        <f>+VLOOKUP($L127,Data_Validation!$A:$D,4,0)</f>
        <v>Frais Payés d'Avance</v>
      </c>
      <c r="W127" s="153" t="str">
        <f>+VLOOKUP($L127,Data_Validation!$A:$E,5,0)</f>
        <v>$</v>
      </c>
      <c r="X127" s="153">
        <f>+VLOOKUP($L127,Data_Validation!$A:$F,6,0)</f>
        <v>0</v>
      </c>
    </row>
    <row r="128" spans="1:24" ht="15" customHeight="1">
      <c r="A128" s="1430" t="s">
        <v>2673</v>
      </c>
      <c r="B128" s="1433">
        <v>1538</v>
      </c>
      <c r="C128" s="1432">
        <v>-431.25</v>
      </c>
      <c r="D128" s="1432">
        <v>431.25</v>
      </c>
      <c r="E128" s="1432">
        <v>0</v>
      </c>
      <c r="F128" s="1430" t="s">
        <v>290</v>
      </c>
      <c r="G128" s="1430" t="s">
        <v>2099</v>
      </c>
      <c r="H128" s="1235"/>
      <c r="I128" s="1236"/>
      <c r="J128" s="1236"/>
      <c r="K128" s="1236"/>
      <c r="L128" s="150">
        <f t="shared" si="0"/>
        <v>1538</v>
      </c>
      <c r="M128" s="573" t="str">
        <f t="shared" si="1"/>
        <v>FPA FORMATION</v>
      </c>
      <c r="N128" s="152">
        <f>+IF(OR($Q128=Parametres!$G$2,$Q128=Parametres!$G$3),I128,C128)</f>
        <v>-431.25</v>
      </c>
      <c r="O128" s="574">
        <f>+IF(OR($Q128=Parametres!$G$2,$Q128=Parametres!$G$3),J128,D128)</f>
        <v>431.25</v>
      </c>
      <c r="P128" s="575">
        <f>+IF(OR($Q128=Parametres!$G$2,$Q128=Parametres!$G$3),K128,E128)</f>
        <v>0</v>
      </c>
      <c r="Q128" s="151" t="str">
        <f t="shared" si="9"/>
        <v>2-Actifs</v>
      </c>
      <c r="R128" s="150" t="str">
        <f t="shared" si="9"/>
        <v>1500</v>
      </c>
      <c r="S128" s="151">
        <f t="shared" si="9"/>
        <v>0</v>
      </c>
      <c r="T128" s="153">
        <f>+VLOOKUP($L128,Data_Validation!$A:$D,1,0)</f>
        <v>1538</v>
      </c>
      <c r="U128" s="153" t="str">
        <f>+VLOOKUP($L128,Data_Validation!$A:$D,3,0)</f>
        <v>Bilan</v>
      </c>
      <c r="V128" s="153" t="str">
        <f>+VLOOKUP($L128,Data_Validation!$A:$D,4,0)</f>
        <v>Frais Payés d'Avance</v>
      </c>
      <c r="W128" s="153" t="str">
        <f>+VLOOKUP($L128,Data_Validation!$A:$E,5,0)</f>
        <v>$</v>
      </c>
      <c r="X128" s="153">
        <f>+VLOOKUP($L128,Data_Validation!$A:$F,6,0)</f>
        <v>0</v>
      </c>
    </row>
    <row r="129" spans="1:24" ht="15" customHeight="1">
      <c r="A129" s="1430" t="s">
        <v>2776</v>
      </c>
      <c r="B129" s="1433">
        <v>1540</v>
      </c>
      <c r="C129" s="1432">
        <v>0</v>
      </c>
      <c r="D129" s="1432">
        <v>479.5</v>
      </c>
      <c r="E129" s="1432">
        <v>479.5</v>
      </c>
      <c r="F129" s="1430" t="s">
        <v>290</v>
      </c>
      <c r="G129" s="1430" t="s">
        <v>2099</v>
      </c>
      <c r="H129" s="1235"/>
      <c r="I129" s="1236"/>
      <c r="J129" s="1236"/>
      <c r="K129" s="1236"/>
      <c r="L129" s="150">
        <f t="shared" si="0"/>
        <v>1540</v>
      </c>
      <c r="M129" s="151" t="str">
        <f t="shared" si="1"/>
        <v>FPA CONTRATS DE SERVICES</v>
      </c>
      <c r="N129" s="152">
        <f>+IF(OR($Q129=Parametres!$G$2,$Q129=Parametres!$G$3),I129,C129)</f>
        <v>0</v>
      </c>
      <c r="O129" s="152">
        <f>+IF(OR($Q129=Parametres!$G$2,$Q129=Parametres!$G$3),J129,D129)</f>
        <v>479.5</v>
      </c>
      <c r="P129" s="152">
        <f>+IF(OR($Q129=Parametres!$G$2,$Q129=Parametres!$G$3),K129,E129)</f>
        <v>479.5</v>
      </c>
      <c r="Q129" s="151" t="str">
        <f t="shared" si="9"/>
        <v>2-Actifs</v>
      </c>
      <c r="R129" s="150" t="str">
        <f t="shared" si="9"/>
        <v>1500</v>
      </c>
      <c r="S129" s="151">
        <f t="shared" si="9"/>
        <v>0</v>
      </c>
      <c r="T129" s="153">
        <f>+VLOOKUP($L129,Data_Validation!$A:$D,1,0)</f>
        <v>1540</v>
      </c>
      <c r="U129" s="153" t="str">
        <f>+VLOOKUP($L129,Data_Validation!$A:$D,3,0)</f>
        <v>Bilan</v>
      </c>
      <c r="V129" s="153" t="str">
        <f>+VLOOKUP($L129,Data_Validation!$A:$D,4,0)</f>
        <v>Frais Payés d'Avance</v>
      </c>
      <c r="W129" s="153" t="str">
        <f>+VLOOKUP($L129,Data_Validation!$A:$E,5,0)</f>
        <v>$</v>
      </c>
      <c r="X129" s="153">
        <f>+VLOOKUP($L129,Data_Validation!$A:$F,6,0)</f>
        <v>0</v>
      </c>
    </row>
    <row r="130" spans="1:24" ht="15" customHeight="1">
      <c r="A130" s="1430" t="s">
        <v>2194</v>
      </c>
      <c r="B130" s="1433">
        <v>1544</v>
      </c>
      <c r="C130" s="1432">
        <v>-3525.13</v>
      </c>
      <c r="D130" s="1432">
        <v>0</v>
      </c>
      <c r="E130" s="1432">
        <v>-3525.13</v>
      </c>
      <c r="F130" s="1430" t="s">
        <v>290</v>
      </c>
      <c r="G130" s="1430" t="s">
        <v>2099</v>
      </c>
      <c r="H130" s="1235"/>
      <c r="I130" s="1236"/>
      <c r="J130" s="1236"/>
      <c r="K130" s="1236"/>
      <c r="L130" s="150">
        <f t="shared" si="0"/>
        <v>1544</v>
      </c>
      <c r="M130" s="151" t="str">
        <f t="shared" si="1"/>
        <v>FPA GAZ METROPOLITAIN</v>
      </c>
      <c r="N130" s="152">
        <f>+IF(OR($Q130=Parametres!$G$2,$Q130=Parametres!$G$3),I130,C130)</f>
        <v>-3525.13</v>
      </c>
      <c r="O130" s="152">
        <f>+IF(OR($Q130=Parametres!$G$2,$Q130=Parametres!$G$3),J130,D130)</f>
        <v>0</v>
      </c>
      <c r="P130" s="152">
        <f>+IF(OR($Q130=Parametres!$G$2,$Q130=Parametres!$G$3),K130,E130)</f>
        <v>-3525.13</v>
      </c>
      <c r="Q130" s="151" t="str">
        <f t="shared" ref="Q130:S145" si="10">+F130</f>
        <v>2-Actifs</v>
      </c>
      <c r="R130" s="150" t="str">
        <f t="shared" si="10"/>
        <v>1500</v>
      </c>
      <c r="S130" s="151">
        <f t="shared" si="10"/>
        <v>0</v>
      </c>
      <c r="T130" s="153">
        <f>+VLOOKUP($L130,Data_Validation!$A:$D,1,0)</f>
        <v>1544</v>
      </c>
      <c r="U130" s="153" t="str">
        <f>+VLOOKUP($L130,Data_Validation!$A:$D,3,0)</f>
        <v>Bilan</v>
      </c>
      <c r="V130" s="153" t="str">
        <f>+VLOOKUP($L130,Data_Validation!$A:$D,4,0)</f>
        <v>Autres Courus</v>
      </c>
      <c r="W130" s="153" t="str">
        <f>+VLOOKUP($L130,Data_Validation!$A:$E,5,0)</f>
        <v>$</v>
      </c>
      <c r="X130" s="153">
        <f>+VLOOKUP($L130,Data_Validation!$A:$F,6,0)</f>
        <v>0</v>
      </c>
    </row>
    <row r="131" spans="1:24" ht="15.75" customHeight="1">
      <c r="A131" s="1430" t="s">
        <v>2115</v>
      </c>
      <c r="B131" s="1433">
        <v>1552</v>
      </c>
      <c r="C131" s="1432">
        <v>23421.35</v>
      </c>
      <c r="D131" s="1432">
        <v>-720</v>
      </c>
      <c r="E131" s="1432">
        <v>22701.35</v>
      </c>
      <c r="F131" s="1430" t="s">
        <v>290</v>
      </c>
      <c r="G131" s="1430" t="s">
        <v>2099</v>
      </c>
      <c r="H131" s="1235"/>
      <c r="I131" s="1236"/>
      <c r="J131" s="1236"/>
      <c r="K131" s="1236"/>
      <c r="L131" s="150">
        <f t="shared" si="0"/>
        <v>1552</v>
      </c>
      <c r="M131" s="151" t="str">
        <f t="shared" si="1"/>
        <v>FPA C.S.S.T.</v>
      </c>
      <c r="N131" s="152">
        <f>+IF(OR($Q131=Parametres!$G$2,$Q131=Parametres!$G$3),I131,C131)</f>
        <v>23421.35</v>
      </c>
      <c r="O131" s="152">
        <f>+IF(OR($Q131=Parametres!$G$2,$Q131=Parametres!$G$3),J131,D131)</f>
        <v>-720</v>
      </c>
      <c r="P131" s="152">
        <f>+IF(OR($Q131=Parametres!$G$2,$Q131=Parametres!$G$3),K131,E131)</f>
        <v>22701.35</v>
      </c>
      <c r="Q131" s="151" t="str">
        <f t="shared" si="10"/>
        <v>2-Actifs</v>
      </c>
      <c r="R131" s="150" t="str">
        <f t="shared" si="10"/>
        <v>1500</v>
      </c>
      <c r="S131" s="151">
        <f t="shared" si="10"/>
        <v>0</v>
      </c>
      <c r="T131" s="153">
        <f>+VLOOKUP($L131,Data_Validation!$A:$D,1,0)</f>
        <v>1552</v>
      </c>
      <c r="U131" s="153" t="str">
        <f>+VLOOKUP($L131,Data_Validation!$A:$D,3,0)</f>
        <v>Bilan</v>
      </c>
      <c r="V131" s="153" t="str">
        <f>+VLOOKUP($L131,Data_Validation!$A:$D,4,0)</f>
        <v>Frais Payés d'Avance</v>
      </c>
      <c r="W131" s="153" t="str">
        <f>+VLOOKUP($L131,Data_Validation!$A:$E,5,0)</f>
        <v>$</v>
      </c>
      <c r="X131" s="153">
        <f>+VLOOKUP($L131,Data_Validation!$A:$F,6,0)</f>
        <v>0</v>
      </c>
    </row>
    <row r="132" spans="1:24" ht="15" customHeight="1">
      <c r="A132" s="1430" t="s">
        <v>2109</v>
      </c>
      <c r="B132" s="1433">
        <v>1582</v>
      </c>
      <c r="C132" s="1432">
        <v>21533.41</v>
      </c>
      <c r="D132" s="1432">
        <v>-7699.3</v>
      </c>
      <c r="E132" s="1432">
        <v>13834.11</v>
      </c>
      <c r="F132" s="1430" t="s">
        <v>290</v>
      </c>
      <c r="G132" s="1430" t="s">
        <v>2099</v>
      </c>
      <c r="H132" s="1235"/>
      <c r="I132" s="1236"/>
      <c r="J132" s="1236"/>
      <c r="K132" s="1236"/>
      <c r="L132" s="150">
        <f t="shared" si="0"/>
        <v>1582</v>
      </c>
      <c r="M132" s="151" t="str">
        <f t="shared" si="1"/>
        <v>FPA TAXES MUNICIPALES</v>
      </c>
      <c r="N132" s="152">
        <f>+IF(OR($Q132=Parametres!$G$2,$Q132=Parametres!$G$3),I132,C132)</f>
        <v>21533.41</v>
      </c>
      <c r="O132" s="152">
        <f>+IF(OR($Q132=Parametres!$G$2,$Q132=Parametres!$G$3),J132,D132)</f>
        <v>-7699.3</v>
      </c>
      <c r="P132" s="152">
        <f>+IF(OR($Q132=Parametres!$G$2,$Q132=Parametres!$G$3),K132,E132)</f>
        <v>13834.11</v>
      </c>
      <c r="Q132" s="151" t="str">
        <f t="shared" si="10"/>
        <v>2-Actifs</v>
      </c>
      <c r="R132" s="150" t="str">
        <f t="shared" si="10"/>
        <v>1500</v>
      </c>
      <c r="S132" s="151">
        <f t="shared" si="10"/>
        <v>0</v>
      </c>
      <c r="T132" s="153">
        <f>+VLOOKUP($L132,Data_Validation!$A:$D,1,0)</f>
        <v>1582</v>
      </c>
      <c r="U132" s="153" t="str">
        <f>+VLOOKUP($L132,Data_Validation!$A:$D,3,0)</f>
        <v>Bilan</v>
      </c>
      <c r="V132" s="153" t="str">
        <f>+VLOOKUP($L132,Data_Validation!$A:$D,4,0)</f>
        <v>Frais Payés d'Avance</v>
      </c>
      <c r="W132" s="153" t="str">
        <f>+VLOOKUP($L132,Data_Validation!$A:$E,5,0)</f>
        <v>$</v>
      </c>
      <c r="X132" s="153">
        <f>+VLOOKUP($L132,Data_Validation!$A:$F,6,0)</f>
        <v>0</v>
      </c>
    </row>
    <row r="133" spans="1:24" ht="15" customHeight="1">
      <c r="A133" s="1430" t="s">
        <v>2170</v>
      </c>
      <c r="B133" s="1433">
        <v>1586</v>
      </c>
      <c r="C133" s="1432">
        <v>1026.44</v>
      </c>
      <c r="D133" s="1432">
        <v>-310.7</v>
      </c>
      <c r="E133" s="1432">
        <v>715.74</v>
      </c>
      <c r="F133" s="1430" t="s">
        <v>290</v>
      </c>
      <c r="G133" s="1430" t="s">
        <v>2099</v>
      </c>
      <c r="H133" s="1235"/>
      <c r="I133" s="1236"/>
      <c r="J133" s="1236"/>
      <c r="K133" s="1236"/>
      <c r="L133" s="150">
        <f t="shared" si="0"/>
        <v>1586</v>
      </c>
      <c r="M133" s="151" t="str">
        <f t="shared" si="1"/>
        <v>FPA TAXES SCOLAIRES</v>
      </c>
      <c r="N133" s="152">
        <f>+IF(OR($Q133=Parametres!$G$2,$Q133=Parametres!$G$3),I133,C133)</f>
        <v>1026.44</v>
      </c>
      <c r="O133" s="152">
        <f>+IF(OR($Q133=Parametres!$G$2,$Q133=Parametres!$G$3),J133,D133)</f>
        <v>-310.7</v>
      </c>
      <c r="P133" s="152">
        <f>+IF(OR($Q133=Parametres!$G$2,$Q133=Parametres!$G$3),K133,E133)</f>
        <v>715.74</v>
      </c>
      <c r="Q133" s="151" t="str">
        <f t="shared" si="10"/>
        <v>2-Actifs</v>
      </c>
      <c r="R133" s="150" t="str">
        <f t="shared" si="10"/>
        <v>1500</v>
      </c>
      <c r="S133" s="151">
        <f t="shared" si="10"/>
        <v>0</v>
      </c>
      <c r="T133" s="153">
        <f>+VLOOKUP($L133,Data_Validation!$A:$D,1,0)</f>
        <v>1586</v>
      </c>
      <c r="U133" s="153" t="str">
        <f>+VLOOKUP($L133,Data_Validation!$A:$D,3,0)</f>
        <v>Bilan</v>
      </c>
      <c r="V133" s="153" t="str">
        <f>+VLOOKUP($L133,Data_Validation!$A:$D,4,0)</f>
        <v>Frais Payés d'Avance</v>
      </c>
      <c r="W133" s="153" t="str">
        <f>+VLOOKUP($L133,Data_Validation!$A:$E,5,0)</f>
        <v>$</v>
      </c>
      <c r="X133" s="153">
        <f>+VLOOKUP($L133,Data_Validation!$A:$F,6,0)</f>
        <v>0</v>
      </c>
    </row>
    <row r="134" spans="1:24" ht="15" customHeight="1">
      <c r="A134" s="1430" t="s">
        <v>2930</v>
      </c>
      <c r="B134" s="1433">
        <v>1591</v>
      </c>
      <c r="C134" s="1432">
        <v>0</v>
      </c>
      <c r="D134" s="1432">
        <v>1850</v>
      </c>
      <c r="E134" s="1432">
        <v>1850</v>
      </c>
      <c r="F134" s="1430" t="s">
        <v>290</v>
      </c>
      <c r="G134" s="1430" t="s">
        <v>2099</v>
      </c>
      <c r="H134" s="1235"/>
      <c r="I134" s="1236"/>
      <c r="J134" s="1236"/>
      <c r="K134" s="1236"/>
      <c r="L134" s="150">
        <f t="shared" si="0"/>
        <v>1591</v>
      </c>
      <c r="M134" s="151" t="str">
        <f t="shared" si="1"/>
        <v>FPA PAYABLES</v>
      </c>
      <c r="N134" s="152">
        <f>+IF(OR($Q134=Parametres!$G$2,$Q134=Parametres!$G$3),I134,C134)</f>
        <v>0</v>
      </c>
      <c r="O134" s="152">
        <f>+IF(OR($Q134=Parametres!$G$2,$Q134=Parametres!$G$3),J134,D134)</f>
        <v>1850</v>
      </c>
      <c r="P134" s="152">
        <f>+IF(OR($Q134=Parametres!$G$2,$Q134=Parametres!$G$3),K134,E134)</f>
        <v>1850</v>
      </c>
      <c r="Q134" s="151" t="str">
        <f t="shared" si="10"/>
        <v>2-Actifs</v>
      </c>
      <c r="R134" s="150" t="str">
        <f t="shared" si="10"/>
        <v>1500</v>
      </c>
      <c r="S134" s="151">
        <f t="shared" si="10"/>
        <v>0</v>
      </c>
      <c r="T134" s="153">
        <f>+VLOOKUP($L134,Data_Validation!$A:$D,1,0)</f>
        <v>1591</v>
      </c>
      <c r="U134" s="153" t="str">
        <f>+VLOOKUP($L134,Data_Validation!$A:$D,3,0)</f>
        <v>Bilan</v>
      </c>
      <c r="V134" s="153" t="str">
        <f>+VLOOKUP($L134,Data_Validation!$A:$D,4,0)</f>
        <v>Frais Payés d'Avance</v>
      </c>
      <c r="W134" s="153" t="str">
        <f>+VLOOKUP($L134,Data_Validation!$A:$E,5,0)</f>
        <v>$</v>
      </c>
      <c r="X134" s="153">
        <f>+VLOOKUP($L134,Data_Validation!$A:$F,6,0)</f>
        <v>0</v>
      </c>
    </row>
    <row r="135" spans="1:24" ht="15.75" customHeight="1">
      <c r="A135" s="1430" t="s">
        <v>2794</v>
      </c>
      <c r="B135" s="1433">
        <v>1592</v>
      </c>
      <c r="C135" s="1432">
        <v>-31423.47</v>
      </c>
      <c r="D135" s="1432">
        <v>5761.59</v>
      </c>
      <c r="E135" s="1432">
        <v>-25661.88</v>
      </c>
      <c r="F135" s="1430" t="s">
        <v>290</v>
      </c>
      <c r="G135" s="1430" t="s">
        <v>2099</v>
      </c>
      <c r="H135" s="1235"/>
      <c r="I135" s="1236"/>
      <c r="J135" s="1236"/>
      <c r="K135" s="1236"/>
      <c r="L135" s="150">
        <f t="shared" si="0"/>
        <v>1592</v>
      </c>
      <c r="M135" s="151" t="str">
        <f t="shared" si="1"/>
        <v>FPA AUTRES</v>
      </c>
      <c r="N135" s="152">
        <f>+IF(OR($Q135=Parametres!$G$2,$Q135=Parametres!$G$3),I135,C135)</f>
        <v>-31423.47</v>
      </c>
      <c r="O135" s="152">
        <f>+IF(OR($Q135=Parametres!$G$2,$Q135=Parametres!$G$3),J135,D135)</f>
        <v>5761.59</v>
      </c>
      <c r="P135" s="152">
        <f>+IF(OR($Q135=Parametres!$G$2,$Q135=Parametres!$G$3),K135,E135)</f>
        <v>-25661.88</v>
      </c>
      <c r="Q135" s="151" t="str">
        <f t="shared" si="10"/>
        <v>2-Actifs</v>
      </c>
      <c r="R135" s="150" t="str">
        <f t="shared" si="10"/>
        <v>1500</v>
      </c>
      <c r="S135" s="151">
        <f t="shared" si="10"/>
        <v>0</v>
      </c>
      <c r="T135" s="153">
        <f>+VLOOKUP($L135,Data_Validation!$A:$D,1,0)</f>
        <v>1592</v>
      </c>
      <c r="U135" s="153" t="str">
        <f>+VLOOKUP($L135,Data_Validation!$A:$D,3,0)</f>
        <v>Bilan</v>
      </c>
      <c r="V135" s="153" t="str">
        <f>+VLOOKUP($L135,Data_Validation!$A:$D,4,0)</f>
        <v>Frais Payés d'Avance</v>
      </c>
      <c r="W135" s="153" t="str">
        <f>+VLOOKUP($L135,Data_Validation!$A:$E,5,0)</f>
        <v>$</v>
      </c>
      <c r="X135" s="153">
        <f>+VLOOKUP($L135,Data_Validation!$A:$F,6,0)</f>
        <v>0</v>
      </c>
    </row>
    <row r="136" spans="1:24" ht="15" customHeight="1">
      <c r="A136" s="1430" t="s">
        <v>2391</v>
      </c>
      <c r="B136" s="1433">
        <v>1732</v>
      </c>
      <c r="C136" s="1432">
        <v>139185.28</v>
      </c>
      <c r="D136" s="1432">
        <v>0</v>
      </c>
      <c r="E136" s="1432">
        <v>139185.28</v>
      </c>
      <c r="F136" s="1430" t="s">
        <v>290</v>
      </c>
      <c r="G136" s="1430" t="s">
        <v>2121</v>
      </c>
      <c r="H136" s="1235"/>
      <c r="I136" s="1236"/>
      <c r="J136" s="1236"/>
      <c r="K136" s="1236"/>
      <c r="L136" s="150">
        <f t="shared" si="0"/>
        <v>1732</v>
      </c>
      <c r="M136" s="151" t="str">
        <f t="shared" si="1"/>
        <v>AMELIOR. LOCATIVES</v>
      </c>
      <c r="N136" s="152">
        <f>+IF(OR($Q136=Parametres!$G$2,$Q136=Parametres!$G$3),I136,C136)</f>
        <v>139185.28</v>
      </c>
      <c r="O136" s="152">
        <f>+IF(OR($Q136=Parametres!$G$2,$Q136=Parametres!$G$3),J136,D136)</f>
        <v>0</v>
      </c>
      <c r="P136" s="152">
        <f>+IF(OR($Q136=Parametres!$G$2,$Q136=Parametres!$G$3),K136,E136)</f>
        <v>139185.28</v>
      </c>
      <c r="Q136" s="151" t="str">
        <f t="shared" si="10"/>
        <v>2-Actifs</v>
      </c>
      <c r="R136" s="150" t="str">
        <f t="shared" si="10"/>
        <v>1700</v>
      </c>
      <c r="S136" s="151">
        <f t="shared" si="10"/>
        <v>0</v>
      </c>
      <c r="T136" s="153">
        <f>+VLOOKUP($L136,Data_Validation!$A:$D,1,0)</f>
        <v>1732</v>
      </c>
      <c r="U136" s="153" t="str">
        <f>+VLOOKUP($L136,Data_Validation!$A:$D,3,0)</f>
        <v>Bilan</v>
      </c>
      <c r="V136" s="153" t="str">
        <f>+VLOOKUP($L136,Data_Validation!$A:$D,4,0)</f>
        <v>Améliorations Locatives</v>
      </c>
      <c r="W136" s="153" t="str">
        <f>+VLOOKUP($L136,Data_Validation!$A:$E,5,0)</f>
        <v>$</v>
      </c>
      <c r="X136" s="153">
        <f>+VLOOKUP($L136,Data_Validation!$A:$F,6,0)</f>
        <v>0</v>
      </c>
    </row>
    <row r="137" spans="1:24" ht="15" customHeight="1">
      <c r="A137" s="1430" t="s">
        <v>2149</v>
      </c>
      <c r="B137" s="1433">
        <v>1733</v>
      </c>
      <c r="C137" s="1432">
        <v>-96315.97</v>
      </c>
      <c r="D137" s="1432">
        <v>-225</v>
      </c>
      <c r="E137" s="1432">
        <v>-96540.97</v>
      </c>
      <c r="F137" s="1430" t="s">
        <v>290</v>
      </c>
      <c r="G137" s="1430" t="s">
        <v>2121</v>
      </c>
      <c r="H137" s="1235"/>
      <c r="I137" s="1236"/>
      <c r="J137" s="1236"/>
      <c r="K137" s="1236"/>
      <c r="L137" s="150">
        <f t="shared" si="0"/>
        <v>1733</v>
      </c>
      <c r="M137" s="151" t="str">
        <f t="shared" si="1"/>
        <v>AMORT. CUM. AMEL. LOCAT.</v>
      </c>
      <c r="N137" s="152">
        <f>+IF(OR($Q137=Parametres!$G$2,$Q137=Parametres!$G$3),I137,C137)</f>
        <v>-96315.97</v>
      </c>
      <c r="O137" s="152">
        <f>+IF(OR($Q137=Parametres!$G$2,$Q137=Parametres!$G$3),J137,D137)</f>
        <v>-225</v>
      </c>
      <c r="P137" s="152">
        <f>+IF(OR($Q137=Parametres!$G$2,$Q137=Parametres!$G$3),K137,E137)</f>
        <v>-96540.97</v>
      </c>
      <c r="Q137" s="151" t="str">
        <f t="shared" si="10"/>
        <v>2-Actifs</v>
      </c>
      <c r="R137" s="150" t="str">
        <f t="shared" si="10"/>
        <v>1700</v>
      </c>
      <c r="S137" s="151">
        <f t="shared" si="10"/>
        <v>0</v>
      </c>
      <c r="T137" s="153">
        <f>+VLOOKUP($L137,Data_Validation!$A:$D,1,0)</f>
        <v>1733</v>
      </c>
      <c r="U137" s="153" t="str">
        <f>+VLOOKUP($L137,Data_Validation!$A:$D,3,0)</f>
        <v>Bilan</v>
      </c>
      <c r="V137" s="153" t="str">
        <f>+VLOOKUP($L137,Data_Validation!$A:$D,4,0)</f>
        <v>Améliorations Locatives</v>
      </c>
      <c r="W137" s="153" t="str">
        <f>+VLOOKUP($L137,Data_Validation!$A:$E,5,0)</f>
        <v>$</v>
      </c>
      <c r="X137" s="153">
        <f>+VLOOKUP($L137,Data_Validation!$A:$F,6,0)</f>
        <v>0</v>
      </c>
    </row>
    <row r="138" spans="1:24" ht="15" customHeight="1">
      <c r="A138" s="1430" t="s">
        <v>2393</v>
      </c>
      <c r="B138" s="1433">
        <v>1742</v>
      </c>
      <c r="C138" s="1432">
        <v>942882.53</v>
      </c>
      <c r="D138" s="1432">
        <v>0</v>
      </c>
      <c r="E138" s="1432">
        <v>942882.53</v>
      </c>
      <c r="F138" s="1430" t="s">
        <v>290</v>
      </c>
      <c r="G138" s="1430" t="s">
        <v>2121</v>
      </c>
      <c r="H138" s="1235"/>
      <c r="I138" s="1236"/>
      <c r="J138" s="1236"/>
      <c r="K138" s="1236"/>
      <c r="L138" s="150">
        <f t="shared" si="0"/>
        <v>1742</v>
      </c>
      <c r="M138" s="151" t="str">
        <f t="shared" si="1"/>
        <v>MACHINERIE &amp; EQUIPEMENT</v>
      </c>
      <c r="N138" s="152">
        <f>+IF(OR($Q138=Parametres!$G$2,$Q138=Parametres!$G$3),I138,C138)</f>
        <v>942882.53</v>
      </c>
      <c r="O138" s="152">
        <f>+IF(OR($Q138=Parametres!$G$2,$Q138=Parametres!$G$3),J138,D138)</f>
        <v>0</v>
      </c>
      <c r="P138" s="152">
        <f>+IF(OR($Q138=Parametres!$G$2,$Q138=Parametres!$G$3),K138,E138)</f>
        <v>942882.53</v>
      </c>
      <c r="Q138" s="151" t="str">
        <f t="shared" si="10"/>
        <v>2-Actifs</v>
      </c>
      <c r="R138" s="150" t="str">
        <f t="shared" si="10"/>
        <v>1700</v>
      </c>
      <c r="S138" s="151">
        <f t="shared" si="10"/>
        <v>0</v>
      </c>
      <c r="T138" s="153">
        <f>+VLOOKUP($L138,Data_Validation!$A:$D,1,0)</f>
        <v>1742</v>
      </c>
      <c r="U138" s="153" t="str">
        <f>+VLOOKUP($L138,Data_Validation!$A:$D,3,0)</f>
        <v>Bilan</v>
      </c>
      <c r="V138" s="153" t="str">
        <f>+VLOOKUP($L138,Data_Validation!$A:$D,4,0)</f>
        <v>Équipements Service</v>
      </c>
      <c r="W138" s="153" t="str">
        <f>+VLOOKUP($L138,Data_Validation!$A:$E,5,0)</f>
        <v>$</v>
      </c>
      <c r="X138" s="153">
        <f>+VLOOKUP($L138,Data_Validation!$A:$F,6,0)</f>
        <v>0</v>
      </c>
    </row>
    <row r="139" spans="1:24" ht="15.75" customHeight="1">
      <c r="A139" s="1430" t="s">
        <v>2119</v>
      </c>
      <c r="B139" s="1433">
        <v>1743</v>
      </c>
      <c r="C139" s="1432">
        <v>-777250.84</v>
      </c>
      <c r="D139" s="1432">
        <v>-2612</v>
      </c>
      <c r="E139" s="1432">
        <v>-779862.84</v>
      </c>
      <c r="F139" s="1430" t="s">
        <v>290</v>
      </c>
      <c r="G139" s="1430" t="s">
        <v>2121</v>
      </c>
      <c r="H139" s="1235"/>
      <c r="I139" s="1236"/>
      <c r="J139" s="1236"/>
      <c r="K139" s="1236"/>
      <c r="L139" s="150">
        <f t="shared" si="0"/>
        <v>1743</v>
      </c>
      <c r="M139" s="151" t="str">
        <f t="shared" si="1"/>
        <v>AMORTISS.MACHINERIE &amp; EQUIP.</v>
      </c>
      <c r="N139" s="152">
        <f>+IF(OR($Q139=Parametres!$G$2,$Q139=Parametres!$G$3),I139,C139)</f>
        <v>-777250.84</v>
      </c>
      <c r="O139" s="152">
        <f>+IF(OR($Q139=Parametres!$G$2,$Q139=Parametres!$G$3),J139,D139)</f>
        <v>-2612</v>
      </c>
      <c r="P139" s="152">
        <f>+IF(OR($Q139=Parametres!$G$2,$Q139=Parametres!$G$3),K139,E139)</f>
        <v>-779862.84</v>
      </c>
      <c r="Q139" s="151" t="str">
        <f t="shared" si="10"/>
        <v>2-Actifs</v>
      </c>
      <c r="R139" s="150" t="str">
        <f t="shared" si="10"/>
        <v>1700</v>
      </c>
      <c r="S139" s="151">
        <f t="shared" si="10"/>
        <v>0</v>
      </c>
      <c r="T139" s="153">
        <f>+VLOOKUP($L139,Data_Validation!$A:$D,1,0)</f>
        <v>1743</v>
      </c>
      <c r="U139" s="153" t="str">
        <f>+VLOOKUP($L139,Data_Validation!$A:$D,3,0)</f>
        <v>Bilan</v>
      </c>
      <c r="V139" s="153" t="str">
        <f>+VLOOKUP($L139,Data_Validation!$A:$D,4,0)</f>
        <v>Équipements Service</v>
      </c>
      <c r="W139" s="153" t="str">
        <f>+VLOOKUP($L139,Data_Validation!$A:$E,5,0)</f>
        <v>$</v>
      </c>
      <c r="X139" s="153">
        <f>+VLOOKUP($L139,Data_Validation!$A:$F,6,0)</f>
        <v>0</v>
      </c>
    </row>
    <row r="140" spans="1:24" ht="15" customHeight="1">
      <c r="A140" s="1430" t="s">
        <v>2395</v>
      </c>
      <c r="B140" s="1433">
        <v>1744</v>
      </c>
      <c r="C140" s="1432">
        <v>47461.59</v>
      </c>
      <c r="D140" s="1432">
        <v>0</v>
      </c>
      <c r="E140" s="1432">
        <v>47461.59</v>
      </c>
      <c r="F140" s="1430" t="s">
        <v>290</v>
      </c>
      <c r="G140" s="1430" t="s">
        <v>2121</v>
      </c>
      <c r="H140" s="1235"/>
      <c r="I140" s="1236"/>
      <c r="J140" s="1236"/>
      <c r="K140" s="1236"/>
      <c r="L140" s="150">
        <f t="shared" si="0"/>
        <v>1744</v>
      </c>
      <c r="M140" s="151" t="str">
        <f t="shared" si="1"/>
        <v>EQUIPEMENT PIECES</v>
      </c>
      <c r="N140" s="152">
        <f>+IF(OR($Q140=Parametres!$G$2,$Q140=Parametres!$G$3),I140,C140)</f>
        <v>47461.59</v>
      </c>
      <c r="O140" s="152">
        <f>+IF(OR($Q140=Parametres!$G$2,$Q140=Parametres!$G$3),J140,D140)</f>
        <v>0</v>
      </c>
      <c r="P140" s="152">
        <f>+IF(OR($Q140=Parametres!$G$2,$Q140=Parametres!$G$3),K140,E140)</f>
        <v>47461.59</v>
      </c>
      <c r="Q140" s="151" t="str">
        <f t="shared" si="10"/>
        <v>2-Actifs</v>
      </c>
      <c r="R140" s="150" t="str">
        <f t="shared" si="10"/>
        <v>1700</v>
      </c>
      <c r="S140" s="151">
        <f t="shared" si="10"/>
        <v>0</v>
      </c>
      <c r="T140" s="153">
        <f>+VLOOKUP($L140,Data_Validation!$A:$D,1,0)</f>
        <v>1744</v>
      </c>
      <c r="U140" s="153" t="str">
        <f>+VLOOKUP($L140,Data_Validation!$A:$D,3,0)</f>
        <v>Bilan</v>
      </c>
      <c r="V140" s="153" t="str">
        <f>+VLOOKUP($L140,Data_Validation!$A:$D,4,0)</f>
        <v>Équipements Service</v>
      </c>
      <c r="W140" s="153" t="str">
        <f>+VLOOKUP($L140,Data_Validation!$A:$E,5,0)</f>
        <v>$</v>
      </c>
      <c r="X140" s="153">
        <f>+VLOOKUP($L140,Data_Validation!$A:$F,6,0)</f>
        <v>0</v>
      </c>
    </row>
    <row r="141" spans="1:24" ht="15" customHeight="1">
      <c r="A141" s="1430" t="s">
        <v>2190</v>
      </c>
      <c r="B141" s="1433">
        <v>1745</v>
      </c>
      <c r="C141" s="1432">
        <v>-47375.48</v>
      </c>
      <c r="D141" s="1432">
        <v>-8.5</v>
      </c>
      <c r="E141" s="1432">
        <v>-47383.98</v>
      </c>
      <c r="F141" s="1430" t="s">
        <v>290</v>
      </c>
      <c r="G141" s="1430" t="s">
        <v>2121</v>
      </c>
      <c r="H141" s="1235"/>
      <c r="I141" s="1236"/>
      <c r="J141" s="1236"/>
      <c r="K141" s="1236"/>
      <c r="L141" s="150">
        <f t="shared" si="0"/>
        <v>1745</v>
      </c>
      <c r="M141" s="151" t="str">
        <f t="shared" si="1"/>
        <v>AMORTISS.EQUIPEMENTS PIECES</v>
      </c>
      <c r="N141" s="152">
        <f>+IF(OR($Q141=Parametres!$G$2,$Q141=Parametres!$G$3),I141,C141)</f>
        <v>-47375.48</v>
      </c>
      <c r="O141" s="152">
        <f>+IF(OR($Q141=Parametres!$G$2,$Q141=Parametres!$G$3),J141,D141)</f>
        <v>-8.5</v>
      </c>
      <c r="P141" s="152">
        <f>+IF(OR($Q141=Parametres!$G$2,$Q141=Parametres!$G$3),K141,E141)</f>
        <v>-47383.98</v>
      </c>
      <c r="Q141" s="151" t="str">
        <f t="shared" si="10"/>
        <v>2-Actifs</v>
      </c>
      <c r="R141" s="150" t="str">
        <f t="shared" si="10"/>
        <v>1700</v>
      </c>
      <c r="S141" s="151">
        <f t="shared" si="10"/>
        <v>0</v>
      </c>
      <c r="T141" s="153">
        <f>+VLOOKUP($L141,Data_Validation!$A:$D,1,0)</f>
        <v>1745</v>
      </c>
      <c r="U141" s="153" t="str">
        <f>+VLOOKUP($L141,Data_Validation!$A:$D,3,0)</f>
        <v>Bilan</v>
      </c>
      <c r="V141" s="153" t="str">
        <f>+VLOOKUP($L141,Data_Validation!$A:$D,4,0)</f>
        <v>Équipements Service</v>
      </c>
      <c r="W141" s="153" t="str">
        <f>+VLOOKUP($L141,Data_Validation!$A:$E,5,0)</f>
        <v>$</v>
      </c>
      <c r="X141" s="153">
        <f>+VLOOKUP($L141,Data_Validation!$A:$F,6,0)</f>
        <v>0</v>
      </c>
    </row>
    <row r="142" spans="1:24" ht="15" customHeight="1">
      <c r="A142" s="1430" t="s">
        <v>2397</v>
      </c>
      <c r="B142" s="1433">
        <v>1760</v>
      </c>
      <c r="C142" s="1432">
        <v>14897</v>
      </c>
      <c r="D142" s="1432">
        <v>0</v>
      </c>
      <c r="E142" s="1432">
        <v>14897</v>
      </c>
      <c r="F142" s="1430" t="s">
        <v>290</v>
      </c>
      <c r="G142" s="1430" t="s">
        <v>2121</v>
      </c>
      <c r="H142" s="1235"/>
      <c r="I142" s="1236"/>
      <c r="J142" s="1236"/>
      <c r="K142" s="1236"/>
      <c r="L142" s="150">
        <f t="shared" si="0"/>
        <v>1760</v>
      </c>
      <c r="M142" s="151" t="str">
        <f t="shared" si="1"/>
        <v>EQUIPEMENT TELEPHONIQUE</v>
      </c>
      <c r="N142" s="152">
        <f>+IF(OR($Q142=Parametres!$G$2,$Q142=Parametres!$G$3),I142,C142)</f>
        <v>14897</v>
      </c>
      <c r="O142" s="152">
        <f>+IF(OR($Q142=Parametres!$G$2,$Q142=Parametres!$G$3),J142,D142)</f>
        <v>0</v>
      </c>
      <c r="P142" s="152">
        <f>+IF(OR($Q142=Parametres!$G$2,$Q142=Parametres!$G$3),K142,E142)</f>
        <v>14897</v>
      </c>
      <c r="Q142" s="151" t="str">
        <f t="shared" si="10"/>
        <v>2-Actifs</v>
      </c>
      <c r="R142" s="150" t="str">
        <f t="shared" si="10"/>
        <v>1700</v>
      </c>
      <c r="S142" s="151">
        <f t="shared" si="10"/>
        <v>0</v>
      </c>
      <c r="T142" s="153">
        <f>+VLOOKUP($L142,Data_Validation!$A:$D,1,0)</f>
        <v>1760</v>
      </c>
      <c r="U142" s="153" t="str">
        <f>+VLOOKUP($L142,Data_Validation!$A:$D,3,0)</f>
        <v>Bilan</v>
      </c>
      <c r="V142" s="153" t="str">
        <f>+VLOOKUP($L142,Data_Validation!$A:$D,4,0)</f>
        <v>Équipements Téléphonique</v>
      </c>
      <c r="W142" s="153" t="str">
        <f>+VLOOKUP($L142,Data_Validation!$A:$E,5,0)</f>
        <v>$</v>
      </c>
      <c r="X142" s="153">
        <f>+VLOOKUP($L142,Data_Validation!$A:$F,6,0)</f>
        <v>0</v>
      </c>
    </row>
    <row r="143" spans="1:24" ht="15.75" customHeight="1">
      <c r="A143" s="1430" t="s">
        <v>2561</v>
      </c>
      <c r="B143" s="1433">
        <v>1761</v>
      </c>
      <c r="C143" s="1432">
        <v>-14897</v>
      </c>
      <c r="D143" s="1432">
        <v>0</v>
      </c>
      <c r="E143" s="1432">
        <v>-14897</v>
      </c>
      <c r="F143" s="1430" t="s">
        <v>290</v>
      </c>
      <c r="G143" s="1430" t="s">
        <v>2121</v>
      </c>
      <c r="H143" s="1235"/>
      <c r="I143" s="1236"/>
      <c r="J143" s="1236"/>
      <c r="K143" s="1236"/>
      <c r="L143" s="150">
        <f t="shared" si="0"/>
        <v>1761</v>
      </c>
      <c r="M143" s="151" t="str">
        <f t="shared" si="1"/>
        <v>AMORTISS.EQUIP.TELEPHONIQUES</v>
      </c>
      <c r="N143" s="152">
        <f>+IF(OR($Q143=Parametres!$G$2,$Q143=Parametres!$G$3),I143,C143)</f>
        <v>-14897</v>
      </c>
      <c r="O143" s="152">
        <f>+IF(OR($Q143=Parametres!$G$2,$Q143=Parametres!$G$3),J143,D143)</f>
        <v>0</v>
      </c>
      <c r="P143" s="152">
        <f>+IF(OR($Q143=Parametres!$G$2,$Q143=Parametres!$G$3),K143,E143)</f>
        <v>-14897</v>
      </c>
      <c r="Q143" s="151" t="str">
        <f t="shared" si="10"/>
        <v>2-Actifs</v>
      </c>
      <c r="R143" s="150" t="str">
        <f t="shared" si="10"/>
        <v>1700</v>
      </c>
      <c r="S143" s="151">
        <f t="shared" si="10"/>
        <v>0</v>
      </c>
      <c r="T143" s="153">
        <f>+VLOOKUP($L143,Data_Validation!$A:$D,1,0)</f>
        <v>1761</v>
      </c>
      <c r="U143" s="153" t="str">
        <f>+VLOOKUP($L143,Data_Validation!$A:$D,3,0)</f>
        <v>Bilan</v>
      </c>
      <c r="V143" s="153" t="str">
        <f>+VLOOKUP($L143,Data_Validation!$A:$D,4,0)</f>
        <v>Équipements Téléphonique</v>
      </c>
      <c r="W143" s="153" t="str">
        <f>+VLOOKUP($L143,Data_Validation!$A:$E,5,0)</f>
        <v>$</v>
      </c>
      <c r="X143" s="153">
        <f>+VLOOKUP($L143,Data_Validation!$A:$F,6,0)</f>
        <v>0</v>
      </c>
    </row>
    <row r="144" spans="1:24" ht="15" customHeight="1">
      <c r="A144" s="1430" t="s">
        <v>2399</v>
      </c>
      <c r="B144" s="1433">
        <v>1762</v>
      </c>
      <c r="C144" s="1432">
        <v>433206.49</v>
      </c>
      <c r="D144" s="1432">
        <v>0</v>
      </c>
      <c r="E144" s="1432">
        <v>433206.49</v>
      </c>
      <c r="F144" s="1430" t="s">
        <v>290</v>
      </c>
      <c r="G144" s="1430" t="s">
        <v>2121</v>
      </c>
      <c r="H144" s="1235"/>
      <c r="I144" s="1236"/>
      <c r="J144" s="1236"/>
      <c r="K144" s="1236"/>
      <c r="L144" s="150">
        <f t="shared" si="0"/>
        <v>1762</v>
      </c>
      <c r="M144" s="151" t="str">
        <f t="shared" si="1"/>
        <v>AMEUBLEMENT &amp; INSTR.</v>
      </c>
      <c r="N144" s="152">
        <f>+IF(OR($Q144=Parametres!$G$2,$Q144=Parametres!$G$3),I144,C144)</f>
        <v>433206.49</v>
      </c>
      <c r="O144" s="152">
        <f>+IF(OR($Q144=Parametres!$G$2,$Q144=Parametres!$G$3),J144,D144)</f>
        <v>0</v>
      </c>
      <c r="P144" s="152">
        <f>+IF(OR($Q144=Parametres!$G$2,$Q144=Parametres!$G$3),K144,E144)</f>
        <v>433206.49</v>
      </c>
      <c r="Q144" s="151" t="str">
        <f t="shared" si="10"/>
        <v>2-Actifs</v>
      </c>
      <c r="R144" s="150" t="str">
        <f t="shared" si="10"/>
        <v>1700</v>
      </c>
      <c r="S144" s="151">
        <f t="shared" si="10"/>
        <v>0</v>
      </c>
      <c r="T144" s="153">
        <f>+VLOOKUP($L144,Data_Validation!$A:$D,1,0)</f>
        <v>1762</v>
      </c>
      <c r="U144" s="153" t="str">
        <f>+VLOOKUP($L144,Data_Validation!$A:$D,3,0)</f>
        <v>Bilan</v>
      </c>
      <c r="V144" s="153" t="str">
        <f>+VLOOKUP($L144,Data_Validation!$A:$D,4,0)</f>
        <v>Mobilier</v>
      </c>
      <c r="W144" s="153" t="str">
        <f>+VLOOKUP($L144,Data_Validation!$A:$E,5,0)</f>
        <v>$</v>
      </c>
      <c r="X144" s="153">
        <f>+VLOOKUP($L144,Data_Validation!$A:$F,6,0)</f>
        <v>0</v>
      </c>
    </row>
    <row r="145" spans="1:24" ht="15" customHeight="1">
      <c r="A145" s="1430" t="s">
        <v>2156</v>
      </c>
      <c r="B145" s="1433">
        <v>1763</v>
      </c>
      <c r="C145" s="1432">
        <v>-400939.54</v>
      </c>
      <c r="D145" s="1432">
        <v>-497</v>
      </c>
      <c r="E145" s="1432">
        <v>-401436.54</v>
      </c>
      <c r="F145" s="1430" t="s">
        <v>290</v>
      </c>
      <c r="G145" s="1430" t="s">
        <v>2121</v>
      </c>
      <c r="H145" s="1237"/>
      <c r="I145" s="1237"/>
      <c r="J145" s="1237"/>
      <c r="K145" s="1237"/>
      <c r="L145" s="150">
        <f t="shared" si="0"/>
        <v>1763</v>
      </c>
      <c r="M145" s="151" t="str">
        <f t="shared" si="1"/>
        <v>AMORTISS.AMEUBL.INSTR.</v>
      </c>
      <c r="N145" s="152">
        <f>+IF(OR($Q145=Parametres!$G$2,$Q145=Parametres!$G$3),I145,C145)</f>
        <v>-400939.54</v>
      </c>
      <c r="O145" s="152">
        <f>+IF(OR($Q145=Parametres!$G$2,$Q145=Parametres!$G$3),J145,D145)</f>
        <v>-497</v>
      </c>
      <c r="P145" s="152">
        <f>+IF(OR($Q145=Parametres!$G$2,$Q145=Parametres!$G$3),K145,E145)</f>
        <v>-401436.54</v>
      </c>
      <c r="Q145" s="151" t="str">
        <f t="shared" si="10"/>
        <v>2-Actifs</v>
      </c>
      <c r="R145" s="150" t="str">
        <f t="shared" si="10"/>
        <v>1700</v>
      </c>
      <c r="S145" s="151">
        <f t="shared" si="10"/>
        <v>0</v>
      </c>
      <c r="T145" s="153">
        <f>+VLOOKUP($L145,Data_Validation!$A:$D,1,0)</f>
        <v>1763</v>
      </c>
      <c r="U145" s="153" t="str">
        <f>+VLOOKUP($L145,Data_Validation!$A:$D,3,0)</f>
        <v>Bilan</v>
      </c>
      <c r="V145" s="153" t="str">
        <f>+VLOOKUP($L145,Data_Validation!$A:$D,4,0)</f>
        <v>Mobilier</v>
      </c>
      <c r="W145" s="153" t="str">
        <f>+VLOOKUP($L145,Data_Validation!$A:$E,5,0)</f>
        <v>$</v>
      </c>
      <c r="X145" s="153">
        <f>+VLOOKUP($L145,Data_Validation!$A:$F,6,0)</f>
        <v>0</v>
      </c>
    </row>
    <row r="146" spans="1:24" ht="15" customHeight="1">
      <c r="A146" s="1430" t="s">
        <v>2401</v>
      </c>
      <c r="B146" s="1433">
        <v>1772</v>
      </c>
      <c r="C146" s="1432">
        <v>3987.88</v>
      </c>
      <c r="D146" s="1432">
        <v>0</v>
      </c>
      <c r="E146" s="1432">
        <v>3987.88</v>
      </c>
      <c r="F146" s="1430" t="s">
        <v>290</v>
      </c>
      <c r="G146" s="1430" t="s">
        <v>2121</v>
      </c>
      <c r="H146" s="1237"/>
      <c r="I146" s="1237"/>
      <c r="J146" s="1237"/>
      <c r="K146" s="1237"/>
      <c r="L146" s="150">
        <f t="shared" si="0"/>
        <v>1772</v>
      </c>
      <c r="M146" s="151" t="str">
        <f t="shared" si="1"/>
        <v>VEHICULES DE CIE</v>
      </c>
      <c r="N146" s="152">
        <f>+IF(OR($Q146=Parametres!$G$2,$Q146=Parametres!$G$3),I146,C146)</f>
        <v>3987.88</v>
      </c>
      <c r="O146" s="152">
        <f>+IF(OR($Q146=Parametres!$G$2,$Q146=Parametres!$G$3),J146,D146)</f>
        <v>0</v>
      </c>
      <c r="P146" s="152">
        <f>+IF(OR($Q146=Parametres!$G$2,$Q146=Parametres!$G$3),K146,E146)</f>
        <v>3987.88</v>
      </c>
      <c r="Q146" s="151" t="str">
        <f t="shared" ref="Q146:S161" si="11">+F146</f>
        <v>2-Actifs</v>
      </c>
      <c r="R146" s="150" t="str">
        <f t="shared" si="11"/>
        <v>1700</v>
      </c>
      <c r="S146" s="151">
        <f t="shared" si="11"/>
        <v>0</v>
      </c>
      <c r="T146" s="153">
        <f>+VLOOKUP($L146,Data_Validation!$A:$D,1,0)</f>
        <v>1772</v>
      </c>
      <c r="U146" s="153" t="str">
        <f>+VLOOKUP($L146,Data_Validation!$A:$D,3,0)</f>
        <v>Bilan</v>
      </c>
      <c r="V146" s="153" t="str">
        <f>+VLOOKUP($L146,Data_Validation!$A:$D,4,0)</f>
        <v>Équipements Service</v>
      </c>
      <c r="W146" s="153" t="str">
        <f>+VLOOKUP($L146,Data_Validation!$A:$E,5,0)</f>
        <v>$</v>
      </c>
      <c r="X146" s="153">
        <f>+VLOOKUP($L146,Data_Validation!$A:$F,6,0)</f>
        <v>0</v>
      </c>
    </row>
    <row r="147" spans="1:24" ht="15" customHeight="1">
      <c r="A147" s="1430" t="s">
        <v>2403</v>
      </c>
      <c r="B147" s="1433">
        <v>1773</v>
      </c>
      <c r="C147" s="1432">
        <v>-3987.88</v>
      </c>
      <c r="D147" s="1432">
        <v>0</v>
      </c>
      <c r="E147" s="1432">
        <v>-3987.88</v>
      </c>
      <c r="F147" s="1430" t="s">
        <v>290</v>
      </c>
      <c r="G147" s="1430" t="s">
        <v>2121</v>
      </c>
      <c r="H147" s="1237"/>
      <c r="I147" s="1237"/>
      <c r="J147" s="1237"/>
      <c r="K147" s="1237"/>
      <c r="L147" s="150">
        <f t="shared" si="0"/>
        <v>1773</v>
      </c>
      <c r="M147" s="151" t="str">
        <f t="shared" si="1"/>
        <v>DEPRECIATION &amp; AMORT.</v>
      </c>
      <c r="N147" s="152">
        <f>+IF(OR($Q147=Parametres!$G$2,$Q147=Parametres!$G$3),I147,C147)</f>
        <v>-3987.88</v>
      </c>
      <c r="O147" s="152">
        <f>+IF(OR($Q147=Parametres!$G$2,$Q147=Parametres!$G$3),J147,D147)</f>
        <v>0</v>
      </c>
      <c r="P147" s="152">
        <f>+IF(OR($Q147=Parametres!$G$2,$Q147=Parametres!$G$3),K147,E147)</f>
        <v>-3987.88</v>
      </c>
      <c r="Q147" s="151" t="str">
        <f t="shared" si="11"/>
        <v>2-Actifs</v>
      </c>
      <c r="R147" s="150" t="str">
        <f t="shared" si="11"/>
        <v>1700</v>
      </c>
      <c r="S147" s="151">
        <f t="shared" si="11"/>
        <v>0</v>
      </c>
      <c r="T147" s="153">
        <f>+VLOOKUP($L147,Data_Validation!$A:$D,1,0)</f>
        <v>1773</v>
      </c>
      <c r="U147" s="153" t="str">
        <f>+VLOOKUP($L147,Data_Validation!$A:$D,3,0)</f>
        <v>Bilan</v>
      </c>
      <c r="V147" s="153" t="str">
        <f>+VLOOKUP($L147,Data_Validation!$A:$D,4,0)</f>
        <v>Équipements Service</v>
      </c>
      <c r="W147" s="153" t="str">
        <f>+VLOOKUP($L147,Data_Validation!$A:$E,5,0)</f>
        <v>$</v>
      </c>
      <c r="X147" s="153">
        <f>+VLOOKUP($L147,Data_Validation!$A:$F,6,0)</f>
        <v>0</v>
      </c>
    </row>
    <row r="148" spans="1:24" ht="15" customHeight="1">
      <c r="A148" s="1430" t="s">
        <v>2559</v>
      </c>
      <c r="B148" s="1433">
        <v>1786</v>
      </c>
      <c r="C148" s="1432">
        <v>119812.49</v>
      </c>
      <c r="D148" s="1432">
        <v>3500</v>
      </c>
      <c r="E148" s="1432">
        <v>123312.49</v>
      </c>
      <c r="F148" s="1430" t="s">
        <v>290</v>
      </c>
      <c r="G148" s="1430" t="s">
        <v>2121</v>
      </c>
      <c r="H148" s="1237"/>
      <c r="I148" s="1237"/>
      <c r="J148" s="1237"/>
      <c r="K148" s="1237"/>
      <c r="L148" s="150">
        <f t="shared" si="0"/>
        <v>1786</v>
      </c>
      <c r="M148" s="151" t="str">
        <f t="shared" si="1"/>
        <v>EQUIPEMENT INFORMATIQUE</v>
      </c>
      <c r="N148" s="152">
        <f>+IF(OR($Q148=Parametres!$G$2,$Q148=Parametres!$G$3),I148,C148)</f>
        <v>119812.49</v>
      </c>
      <c r="O148" s="152">
        <f>+IF(OR($Q148=Parametres!$G$2,$Q148=Parametres!$G$3),J148,D148)</f>
        <v>3500</v>
      </c>
      <c r="P148" s="152">
        <f>+IF(OR($Q148=Parametres!$G$2,$Q148=Parametres!$G$3),K148,E148)</f>
        <v>123312.49</v>
      </c>
      <c r="Q148" s="151" t="str">
        <f t="shared" si="11"/>
        <v>2-Actifs</v>
      </c>
      <c r="R148" s="150" t="str">
        <f t="shared" si="11"/>
        <v>1700</v>
      </c>
      <c r="S148" s="151">
        <f t="shared" si="11"/>
        <v>0</v>
      </c>
      <c r="T148" s="153">
        <f>+VLOOKUP($L148,Data_Validation!$A:$D,1,0)</f>
        <v>1786</v>
      </c>
      <c r="U148" s="153" t="str">
        <f>+VLOOKUP($L148,Data_Validation!$A:$D,3,0)</f>
        <v>Bilan</v>
      </c>
      <c r="V148" s="153" t="str">
        <f>+VLOOKUP($L148,Data_Validation!$A:$D,4,0)</f>
        <v>Équipements Informatique</v>
      </c>
      <c r="W148" s="153" t="str">
        <f>+VLOOKUP($L148,Data_Validation!$A:$E,5,0)</f>
        <v>$</v>
      </c>
      <c r="X148" s="153">
        <f>+VLOOKUP($L148,Data_Validation!$A:$F,6,0)</f>
        <v>0</v>
      </c>
    </row>
    <row r="149" spans="1:24" ht="15" customHeight="1">
      <c r="A149" s="1430" t="s">
        <v>2147</v>
      </c>
      <c r="B149" s="1433">
        <v>1787</v>
      </c>
      <c r="C149" s="1432">
        <v>-98989.42</v>
      </c>
      <c r="D149" s="1432">
        <v>-972</v>
      </c>
      <c r="E149" s="1432">
        <v>-99961.42</v>
      </c>
      <c r="F149" s="1430" t="s">
        <v>290</v>
      </c>
      <c r="G149" s="1430" t="s">
        <v>2121</v>
      </c>
      <c r="H149" s="1237"/>
      <c r="I149" s="1237"/>
      <c r="J149" s="1237"/>
      <c r="K149" s="1237"/>
      <c r="L149" s="150">
        <f t="shared" si="0"/>
        <v>1787</v>
      </c>
      <c r="M149" s="151" t="str">
        <f t="shared" si="1"/>
        <v>AMORTISS.EQUIP.INFORMATIQUES</v>
      </c>
      <c r="N149" s="152">
        <f>+IF(OR($Q149=Parametres!$G$2,$Q149=Parametres!$G$3),I149,C149)</f>
        <v>-98989.42</v>
      </c>
      <c r="O149" s="152">
        <f>+IF(OR($Q149=Parametres!$G$2,$Q149=Parametres!$G$3),J149,D149)</f>
        <v>-972</v>
      </c>
      <c r="P149" s="152">
        <f>+IF(OR($Q149=Parametres!$G$2,$Q149=Parametres!$G$3),K149,E149)</f>
        <v>-99961.42</v>
      </c>
      <c r="Q149" s="151" t="str">
        <f t="shared" si="11"/>
        <v>2-Actifs</v>
      </c>
      <c r="R149" s="150" t="str">
        <f t="shared" si="11"/>
        <v>1700</v>
      </c>
      <c r="S149" s="151">
        <f t="shared" si="11"/>
        <v>0</v>
      </c>
      <c r="T149" s="153">
        <f>+VLOOKUP($L149,Data_Validation!$A:$D,1,0)</f>
        <v>1787</v>
      </c>
      <c r="U149" s="153" t="str">
        <f>+VLOOKUP($L149,Data_Validation!$A:$D,3,0)</f>
        <v>Bilan</v>
      </c>
      <c r="V149" s="153" t="str">
        <f>+VLOOKUP($L149,Data_Validation!$A:$D,4,0)</f>
        <v>Équipements Informatique</v>
      </c>
      <c r="W149" s="153" t="str">
        <f>+VLOOKUP($L149,Data_Validation!$A:$E,5,0)</f>
        <v>$</v>
      </c>
      <c r="X149" s="153">
        <f>+VLOOKUP($L149,Data_Validation!$A:$F,6,0)</f>
        <v>0</v>
      </c>
    </row>
    <row r="150" spans="1:24" ht="15" customHeight="1">
      <c r="A150" s="1430" t="s">
        <v>819</v>
      </c>
      <c r="B150" s="1433">
        <v>1792</v>
      </c>
      <c r="C150" s="1432">
        <v>119393.66</v>
      </c>
      <c r="D150" s="1432">
        <v>0</v>
      </c>
      <c r="E150" s="1432">
        <v>119393.66</v>
      </c>
      <c r="F150" s="1430" t="s">
        <v>290</v>
      </c>
      <c r="G150" s="1430" t="s">
        <v>2121</v>
      </c>
      <c r="H150" s="1237"/>
      <c r="I150" s="1237"/>
      <c r="J150" s="1237"/>
      <c r="K150" s="1237"/>
      <c r="L150" s="150">
        <f t="shared" si="0"/>
        <v>1792</v>
      </c>
      <c r="M150" s="151" t="str">
        <f t="shared" si="1"/>
        <v>ENSEIGNES</v>
      </c>
      <c r="N150" s="152">
        <f>+IF(OR($Q150=Parametres!$G$2,$Q150=Parametres!$G$3),I150,C150)</f>
        <v>119393.66</v>
      </c>
      <c r="O150" s="152">
        <f>+IF(OR($Q150=Parametres!$G$2,$Q150=Parametres!$G$3),J150,D150)</f>
        <v>0</v>
      </c>
      <c r="P150" s="152">
        <f>+IF(OR($Q150=Parametres!$G$2,$Q150=Parametres!$G$3),K150,E150)</f>
        <v>119393.66</v>
      </c>
      <c r="Q150" s="151" t="str">
        <f t="shared" si="11"/>
        <v>2-Actifs</v>
      </c>
      <c r="R150" s="150" t="str">
        <f t="shared" si="11"/>
        <v>1700</v>
      </c>
      <c r="S150" s="151">
        <f t="shared" si="11"/>
        <v>0</v>
      </c>
      <c r="T150" s="153">
        <f>+VLOOKUP($L150,Data_Validation!$A:$D,1,0)</f>
        <v>1792</v>
      </c>
      <c r="U150" s="153" t="str">
        <f>+VLOOKUP($L150,Data_Validation!$A:$D,3,0)</f>
        <v>Bilan</v>
      </c>
      <c r="V150" s="153" t="str">
        <f>+VLOOKUP($L150,Data_Validation!$A:$D,4,0)</f>
        <v>Enseigne</v>
      </c>
      <c r="W150" s="153" t="str">
        <f>+VLOOKUP($L150,Data_Validation!$A:$E,5,0)</f>
        <v>$</v>
      </c>
      <c r="X150" s="153">
        <f>+VLOOKUP($L150,Data_Validation!$A:$F,6,0)</f>
        <v>0</v>
      </c>
    </row>
    <row r="151" spans="1:24" ht="15.75" customHeight="1">
      <c r="A151" s="1430" t="s">
        <v>2188</v>
      </c>
      <c r="B151" s="1433">
        <v>1793</v>
      </c>
      <c r="C151" s="1432">
        <v>-119393.65</v>
      </c>
      <c r="D151" s="1432">
        <v>0</v>
      </c>
      <c r="E151" s="1432">
        <v>-119393.65</v>
      </c>
      <c r="F151" s="1430" t="s">
        <v>290</v>
      </c>
      <c r="G151" s="1430" t="s">
        <v>2121</v>
      </c>
      <c r="H151" s="1237"/>
      <c r="I151" s="1237"/>
      <c r="J151" s="1237"/>
      <c r="K151" s="1237"/>
      <c r="L151" s="150">
        <f t="shared" si="0"/>
        <v>1793</v>
      </c>
      <c r="M151" s="151" t="str">
        <f t="shared" si="1"/>
        <v>AMORT. CUM. ENSEIGNES</v>
      </c>
      <c r="N151" s="152">
        <f>+IF(OR($Q151=Parametres!$G$2,$Q151=Parametres!$G$3),I151,C151)</f>
        <v>-119393.65</v>
      </c>
      <c r="O151" s="152">
        <f>+IF(OR($Q151=Parametres!$G$2,$Q151=Parametres!$G$3),J151,D151)</f>
        <v>0</v>
      </c>
      <c r="P151" s="152">
        <f>+IF(OR($Q151=Parametres!$G$2,$Q151=Parametres!$G$3),K151,E151)</f>
        <v>-119393.65</v>
      </c>
      <c r="Q151" s="151" t="str">
        <f t="shared" si="11"/>
        <v>2-Actifs</v>
      </c>
      <c r="R151" s="150" t="str">
        <f t="shared" si="11"/>
        <v>1700</v>
      </c>
      <c r="S151" s="151">
        <f t="shared" si="11"/>
        <v>0</v>
      </c>
      <c r="T151" s="153">
        <f>+VLOOKUP($L151,Data_Validation!$A:$D,1,0)</f>
        <v>1793</v>
      </c>
      <c r="U151" s="153" t="str">
        <f>+VLOOKUP($L151,Data_Validation!$A:$D,3,0)</f>
        <v>Bilan</v>
      </c>
      <c r="V151" s="153" t="str">
        <f>+VLOOKUP($L151,Data_Validation!$A:$D,4,0)</f>
        <v>Enseigne</v>
      </c>
      <c r="W151" s="153" t="str">
        <f>+VLOOKUP($L151,Data_Validation!$A:$E,5,0)</f>
        <v>$</v>
      </c>
      <c r="X151" s="153">
        <f>+VLOOKUP($L151,Data_Validation!$A:$F,6,0)</f>
        <v>0</v>
      </c>
    </row>
    <row r="152" spans="1:24" ht="15" customHeight="1">
      <c r="A152" s="1430" t="s">
        <v>3610</v>
      </c>
      <c r="B152" s="1433">
        <v>1804</v>
      </c>
      <c r="C152" s="1432">
        <v>1623600</v>
      </c>
      <c r="D152" s="1432">
        <v>0</v>
      </c>
      <c r="E152" s="1432">
        <v>1623600</v>
      </c>
      <c r="F152" s="1430" t="s">
        <v>290</v>
      </c>
      <c r="G152" s="1430" t="s">
        <v>2407</v>
      </c>
      <c r="H152" s="1237"/>
      <c r="I152" s="1237"/>
      <c r="J152" s="1237"/>
      <c r="K152" s="1237"/>
      <c r="L152" s="150">
        <f t="shared" si="0"/>
        <v>1804</v>
      </c>
      <c r="M152" s="151" t="str">
        <f t="shared" si="1"/>
        <v>REC. PROPRIO - INTERCO</v>
      </c>
      <c r="N152" s="152">
        <f>+IF(OR($Q152=Parametres!$G$2,$Q152=Parametres!$G$3),I152,C152)</f>
        <v>1623600</v>
      </c>
      <c r="O152" s="152">
        <f>+IF(OR($Q152=Parametres!$G$2,$Q152=Parametres!$G$3),J152,D152)</f>
        <v>0</v>
      </c>
      <c r="P152" s="152">
        <f>+IF(OR($Q152=Parametres!$G$2,$Q152=Parametres!$G$3),K152,E152)</f>
        <v>1623600</v>
      </c>
      <c r="Q152" s="151" t="str">
        <f t="shared" si="11"/>
        <v>2-Actifs</v>
      </c>
      <c r="R152" s="150" t="str">
        <f t="shared" si="11"/>
        <v>1804</v>
      </c>
      <c r="S152" s="151">
        <f t="shared" si="11"/>
        <v>0</v>
      </c>
      <c r="T152" s="153">
        <f>+VLOOKUP($L152,Data_Validation!$A:$D,1,0)</f>
        <v>1804</v>
      </c>
      <c r="U152" s="153" t="str">
        <f>+VLOOKUP($L152,Data_Validation!$A:$D,3,0)</f>
        <v>Bilan</v>
      </c>
      <c r="V152" s="153" t="str">
        <f>+VLOOKUP($L152,Data_Validation!$A:$D,4,0)</f>
        <v>Avances à Recevoir Long Terme</v>
      </c>
      <c r="W152" s="153" t="str">
        <f>+VLOOKUP($L152,Data_Validation!$A:$E,5,0)</f>
        <v>$</v>
      </c>
      <c r="X152" s="153">
        <f>+VLOOKUP($L152,Data_Validation!$A:$F,6,0)</f>
        <v>0</v>
      </c>
    </row>
    <row r="153" spans="1:24" ht="15" customHeight="1">
      <c r="A153" s="1430" t="s">
        <v>2743</v>
      </c>
      <c r="B153" s="1433">
        <v>1806</v>
      </c>
      <c r="C153" s="1432">
        <v>12373.77</v>
      </c>
      <c r="D153" s="1432">
        <v>-5720.59</v>
      </c>
      <c r="E153" s="1432">
        <v>6653.18</v>
      </c>
      <c r="F153" s="1430" t="s">
        <v>290</v>
      </c>
      <c r="G153" s="1430" t="s">
        <v>2614</v>
      </c>
      <c r="H153" s="1237"/>
      <c r="I153" s="1237"/>
      <c r="J153" s="1237"/>
      <c r="K153" s="1237"/>
      <c r="L153" s="150">
        <f t="shared" si="0"/>
        <v>1806</v>
      </c>
      <c r="M153" s="151" t="str">
        <f t="shared" si="1"/>
        <v>FINANCEMENT RECEVABLE</v>
      </c>
      <c r="N153" s="152">
        <f>+IF(OR($Q153=Parametres!$G$2,$Q153=Parametres!$G$3),I153,C153)</f>
        <v>12373.77</v>
      </c>
      <c r="O153" s="152">
        <f>+IF(OR($Q153=Parametres!$G$2,$Q153=Parametres!$G$3),J153,D153)</f>
        <v>-5720.59</v>
      </c>
      <c r="P153" s="152">
        <f>+IF(OR($Q153=Parametres!$G$2,$Q153=Parametres!$G$3),K153,E153)</f>
        <v>6653.18</v>
      </c>
      <c r="Q153" s="151" t="str">
        <f t="shared" si="11"/>
        <v>2-Actifs</v>
      </c>
      <c r="R153" s="150" t="str">
        <f t="shared" si="11"/>
        <v>1382</v>
      </c>
      <c r="S153" s="151">
        <f t="shared" si="11"/>
        <v>0</v>
      </c>
      <c r="T153" s="153">
        <f>+VLOOKUP($L153,Data_Validation!$A:$D,1,0)</f>
        <v>1806</v>
      </c>
      <c r="U153" s="153" t="str">
        <f>+VLOOKUP($L153,Data_Validation!$A:$D,3,0)</f>
        <v>Bilan</v>
      </c>
      <c r="V153" s="153" t="str">
        <f>+VLOOKUP($L153,Data_Validation!$A:$D,4,0)</f>
        <v>Recevables Autres</v>
      </c>
      <c r="W153" s="153" t="str">
        <f>+VLOOKUP($L153,Data_Validation!$A:$E,5,0)</f>
        <v>$</v>
      </c>
      <c r="X153" s="153">
        <f>+VLOOKUP($L153,Data_Validation!$A:$F,6,0)</f>
        <v>0</v>
      </c>
    </row>
    <row r="154" spans="1:24" ht="15" customHeight="1">
      <c r="A154" s="1430" t="s">
        <v>2837</v>
      </c>
      <c r="B154" s="1433">
        <v>2101</v>
      </c>
      <c r="C154" s="1432">
        <v>-5750794.7999999998</v>
      </c>
      <c r="D154" s="1432">
        <v>1189281.44</v>
      </c>
      <c r="E154" s="1432">
        <v>-4561513.3600000003</v>
      </c>
      <c r="F154" s="1430" t="s">
        <v>279</v>
      </c>
      <c r="G154" s="1430" t="s">
        <v>2838</v>
      </c>
      <c r="H154" s="1237"/>
      <c r="I154" s="1237"/>
      <c r="J154" s="1237"/>
      <c r="K154" s="1237"/>
      <c r="L154" s="150">
        <f t="shared" si="0"/>
        <v>2101</v>
      </c>
      <c r="M154" s="151" t="str">
        <f t="shared" si="1"/>
        <v>NOTE A PAYER VEH. NEUFS VOLKS</v>
      </c>
      <c r="N154" s="152">
        <f>+IF(OR($Q154=Parametres!$G$2,$Q154=Parametres!$G$3),I154,C154)</f>
        <v>-5750794.7999999998</v>
      </c>
      <c r="O154" s="152">
        <f>+IF(OR($Q154=Parametres!$G$2,$Q154=Parametres!$G$3),J154,D154)</f>
        <v>1189281.44</v>
      </c>
      <c r="P154" s="152">
        <f>+IF(OR($Q154=Parametres!$G$2,$Q154=Parametres!$G$3),K154,E154)</f>
        <v>-4561513.3600000003</v>
      </c>
      <c r="Q154" s="151" t="str">
        <f t="shared" si="11"/>
        <v>3-Passifs</v>
      </c>
      <c r="R154" s="150" t="str">
        <f t="shared" si="11"/>
        <v>2101</v>
      </c>
      <c r="S154" s="151">
        <f t="shared" si="11"/>
        <v>0</v>
      </c>
      <c r="T154" s="153">
        <f>+VLOOKUP($L154,Data_Validation!$A:$D,1,0)</f>
        <v>2101</v>
      </c>
      <c r="U154" s="153" t="str">
        <f>+VLOOKUP($L154,Data_Validation!$A:$D,3,0)</f>
        <v>Bilan</v>
      </c>
      <c r="V154" s="153" t="str">
        <f>+VLOOKUP($L154,Data_Validation!$A:$D,4,0)</f>
        <v>Effet à Payer Véhicules Neufs</v>
      </c>
      <c r="W154" s="153" t="str">
        <f>+VLOOKUP($L154,Data_Validation!$A:$E,5,0)</f>
        <v>$</v>
      </c>
      <c r="X154" s="153">
        <f>+VLOOKUP($L154,Data_Validation!$A:$F,6,0)</f>
        <v>0</v>
      </c>
    </row>
    <row r="155" spans="1:24" ht="15.75" customHeight="1">
      <c r="A155" s="1430" t="s">
        <v>2029</v>
      </c>
      <c r="B155" s="1433">
        <v>2103</v>
      </c>
      <c r="C155" s="1432">
        <v>-270905.46000000002</v>
      </c>
      <c r="D155" s="1432">
        <v>-143066.47</v>
      </c>
      <c r="E155" s="1432">
        <v>-413971.93</v>
      </c>
      <c r="F155" s="1430" t="s">
        <v>279</v>
      </c>
      <c r="G155" s="1430" t="s">
        <v>2030</v>
      </c>
      <c r="H155" s="1237"/>
      <c r="I155" s="1237"/>
      <c r="J155" s="1237"/>
      <c r="K155" s="1237"/>
      <c r="L155" s="150">
        <f t="shared" si="0"/>
        <v>2103</v>
      </c>
      <c r="M155" s="151" t="str">
        <f t="shared" si="1"/>
        <v>NOTE PAYABLE-FIN. VEH. USAG.</v>
      </c>
      <c r="N155" s="152">
        <f>+IF(OR($Q155=Parametres!$G$2,$Q155=Parametres!$G$3),I155,C155)</f>
        <v>-270905.46000000002</v>
      </c>
      <c r="O155" s="152">
        <f>+IF(OR($Q155=Parametres!$G$2,$Q155=Parametres!$G$3),J155,D155)</f>
        <v>-143066.47</v>
      </c>
      <c r="P155" s="152">
        <f>+IF(OR($Q155=Parametres!$G$2,$Q155=Parametres!$G$3),K155,E155)</f>
        <v>-413971.93</v>
      </c>
      <c r="Q155" s="151" t="str">
        <f t="shared" si="11"/>
        <v>3-Passifs</v>
      </c>
      <c r="R155" s="150" t="str">
        <f t="shared" si="11"/>
        <v>2103</v>
      </c>
      <c r="S155" s="151">
        <f t="shared" si="11"/>
        <v>0</v>
      </c>
      <c r="T155" s="153">
        <f>+VLOOKUP($L155,Data_Validation!$A:$D,1,0)</f>
        <v>2103</v>
      </c>
      <c r="U155" s="153" t="str">
        <f>+VLOOKUP($L155,Data_Validation!$A:$D,3,0)</f>
        <v>Bilan</v>
      </c>
      <c r="V155" s="153" t="str">
        <f>+VLOOKUP($L155,Data_Validation!$A:$D,4,0)</f>
        <v>Effet à Payer Véhicules Usagés</v>
      </c>
      <c r="W155" s="153" t="str">
        <f>+VLOOKUP($L155,Data_Validation!$A:$E,5,0)</f>
        <v>$</v>
      </c>
      <c r="X155" s="153">
        <f>+VLOOKUP($L155,Data_Validation!$A:$F,6,0)</f>
        <v>0</v>
      </c>
    </row>
    <row r="156" spans="1:24" ht="15" customHeight="1">
      <c r="A156" s="1430" t="s">
        <v>2408</v>
      </c>
      <c r="B156" s="1433">
        <v>2131</v>
      </c>
      <c r="C156" s="1432">
        <v>-15810</v>
      </c>
      <c r="D156" s="1432">
        <v>0</v>
      </c>
      <c r="E156" s="1432">
        <v>-15810</v>
      </c>
      <c r="F156" s="1430" t="s">
        <v>279</v>
      </c>
      <c r="G156" s="1430" t="s">
        <v>2409</v>
      </c>
      <c r="H156" s="1237"/>
      <c r="I156" s="1237"/>
      <c r="J156" s="1237"/>
      <c r="K156" s="1237"/>
      <c r="L156" s="150">
        <f t="shared" si="0"/>
        <v>2131</v>
      </c>
      <c r="M156" s="151" t="str">
        <f t="shared" si="1"/>
        <v>PORTION COURANTE PRET</v>
      </c>
      <c r="N156" s="152">
        <f>+IF(OR($Q156=Parametres!$G$2,$Q156=Parametres!$G$3),I156,C156)</f>
        <v>-15810</v>
      </c>
      <c r="O156" s="152">
        <f>+IF(OR($Q156=Parametres!$G$2,$Q156=Parametres!$G$3),J156,D156)</f>
        <v>0</v>
      </c>
      <c r="P156" s="152">
        <f>+IF(OR($Q156=Parametres!$G$2,$Q156=Parametres!$G$3),K156,E156)</f>
        <v>-15810</v>
      </c>
      <c r="Q156" s="151" t="str">
        <f t="shared" si="11"/>
        <v>3-Passifs</v>
      </c>
      <c r="R156" s="150" t="str">
        <f t="shared" si="11"/>
        <v>2131</v>
      </c>
      <c r="S156" s="151">
        <f t="shared" si="11"/>
        <v>0</v>
      </c>
      <c r="T156" s="153">
        <f>+VLOOKUP($L156,Data_Validation!$A:$D,1,0)</f>
        <v>2131</v>
      </c>
      <c r="U156" s="153" t="str">
        <f>+VLOOKUP($L156,Data_Validation!$A:$D,3,0)</f>
        <v>Bilan</v>
      </c>
      <c r="V156" s="153" t="str">
        <f>+VLOOKUP($L156,Data_Validation!$A:$D,4,0)</f>
        <v>Portion Court Terme de la Dette Long Terme</v>
      </c>
      <c r="W156" s="153" t="str">
        <f>+VLOOKUP($L156,Data_Validation!$A:$E,5,0)</f>
        <v>$</v>
      </c>
      <c r="X156" s="153">
        <f>+VLOOKUP($L156,Data_Validation!$A:$F,6,0)</f>
        <v>0</v>
      </c>
    </row>
    <row r="157" spans="1:24" ht="15" customHeight="1">
      <c r="A157" s="1430" t="s">
        <v>2196</v>
      </c>
      <c r="B157" s="1433">
        <v>2220</v>
      </c>
      <c r="C157" s="1432">
        <v>-640.33000000000004</v>
      </c>
      <c r="D157" s="1432">
        <v>-381.24</v>
      </c>
      <c r="E157" s="1432">
        <v>-1021.57</v>
      </c>
      <c r="F157" s="1430" t="s">
        <v>279</v>
      </c>
      <c r="G157" s="1430" t="s">
        <v>2197</v>
      </c>
      <c r="H157" s="1237"/>
      <c r="I157" s="1237"/>
      <c r="J157" s="1237"/>
      <c r="K157" s="1237"/>
      <c r="L157" s="150">
        <f t="shared" si="0"/>
        <v>2220</v>
      </c>
      <c r="M157" s="151" t="str">
        <f t="shared" si="1"/>
        <v>TPA A PAYER</v>
      </c>
      <c r="N157" s="152">
        <f>+IF(OR($Q157=Parametres!$G$2,$Q157=Parametres!$G$3),I157,C157)</f>
        <v>-640.33000000000004</v>
      </c>
      <c r="O157" s="152">
        <f>+IF(OR($Q157=Parametres!$G$2,$Q157=Parametres!$G$3),J157,D157)</f>
        <v>-381.24</v>
      </c>
      <c r="P157" s="152">
        <f>+IF(OR($Q157=Parametres!$G$2,$Q157=Parametres!$G$3),K157,E157)</f>
        <v>-1021.57</v>
      </c>
      <c r="Q157" s="151" t="str">
        <f t="shared" si="11"/>
        <v>3-Passifs</v>
      </c>
      <c r="R157" s="150" t="str">
        <f t="shared" si="11"/>
        <v>2220</v>
      </c>
      <c r="S157" s="151">
        <f t="shared" si="11"/>
        <v>0</v>
      </c>
      <c r="T157" s="153">
        <f>+VLOOKUP($L157,Data_Validation!$A:$D,1,0)</f>
        <v>2220</v>
      </c>
      <c r="U157" s="153" t="str">
        <f>+VLOOKUP($L157,Data_Validation!$A:$D,3,0)</f>
        <v>Bilan</v>
      </c>
      <c r="V157" s="153" t="str">
        <f>+VLOOKUP($L157,Data_Validation!$A:$D,4,0)</f>
        <v>Taxes de Vente à Payer</v>
      </c>
      <c r="W157" s="153" t="str">
        <f>+VLOOKUP($L157,Data_Validation!$A:$E,5,0)</f>
        <v>$</v>
      </c>
      <c r="X157" s="153">
        <f>+VLOOKUP($L157,Data_Validation!$A:$F,6,0)</f>
        <v>0</v>
      </c>
    </row>
    <row r="158" spans="1:24" ht="15" customHeight="1">
      <c r="A158" s="1430" t="s">
        <v>2049</v>
      </c>
      <c r="B158" s="1433">
        <v>2221</v>
      </c>
      <c r="C158" s="1432">
        <v>-78076.88</v>
      </c>
      <c r="D158" s="1432">
        <v>-10511.2</v>
      </c>
      <c r="E158" s="1432">
        <v>-88588.08</v>
      </c>
      <c r="F158" s="1430" t="s">
        <v>279</v>
      </c>
      <c r="G158" s="1430" t="s">
        <v>2050</v>
      </c>
      <c r="H158" s="1237"/>
      <c r="I158" s="1237"/>
      <c r="J158" s="1237"/>
      <c r="K158" s="1237"/>
      <c r="L158" s="150">
        <f t="shared" si="0"/>
        <v>2221</v>
      </c>
      <c r="M158" s="151" t="str">
        <f t="shared" si="1"/>
        <v>TVQ A PAYER</v>
      </c>
      <c r="N158" s="152">
        <f>+IF(OR($Q158=Parametres!$G$2,$Q158=Parametres!$G$3),I158,C158)</f>
        <v>-78076.88</v>
      </c>
      <c r="O158" s="152">
        <f>+IF(OR($Q158=Parametres!$G$2,$Q158=Parametres!$G$3),J158,D158)</f>
        <v>-10511.2</v>
      </c>
      <c r="P158" s="152">
        <f>+IF(OR($Q158=Parametres!$G$2,$Q158=Parametres!$G$3),K158,E158)</f>
        <v>-88588.08</v>
      </c>
      <c r="Q158" s="151" t="str">
        <f t="shared" si="11"/>
        <v>3-Passifs</v>
      </c>
      <c r="R158" s="150" t="str">
        <f t="shared" si="11"/>
        <v>2221</v>
      </c>
      <c r="S158" s="151">
        <f t="shared" si="11"/>
        <v>0</v>
      </c>
      <c r="T158" s="153">
        <f>+VLOOKUP($L158,Data_Validation!$A:$D,1,0)</f>
        <v>2221</v>
      </c>
      <c r="U158" s="153" t="str">
        <f>+VLOOKUP($L158,Data_Validation!$A:$D,3,0)</f>
        <v>Bilan</v>
      </c>
      <c r="V158" s="153" t="str">
        <f>+VLOOKUP($L158,Data_Validation!$A:$D,4,0)</f>
        <v>Taxes de Vente à Payer</v>
      </c>
      <c r="W158" s="153" t="str">
        <f>+VLOOKUP($L158,Data_Validation!$A:$E,5,0)</f>
        <v>$</v>
      </c>
      <c r="X158" s="153">
        <f>+VLOOKUP($L158,Data_Validation!$A:$F,6,0)</f>
        <v>0</v>
      </c>
    </row>
    <row r="159" spans="1:24" ht="15.75" customHeight="1">
      <c r="A159" s="1430" t="s">
        <v>2787</v>
      </c>
      <c r="B159" s="1433">
        <v>2222</v>
      </c>
      <c r="C159" s="1432">
        <v>59194.57</v>
      </c>
      <c r="D159" s="1432">
        <v>-5165.7</v>
      </c>
      <c r="E159" s="1432">
        <v>54028.87</v>
      </c>
      <c r="F159" s="1430" t="s">
        <v>279</v>
      </c>
      <c r="G159" s="1430" t="s">
        <v>2050</v>
      </c>
      <c r="H159" s="1237"/>
      <c r="I159" s="1237"/>
      <c r="J159" s="1237"/>
      <c r="K159" s="1237"/>
      <c r="L159" s="150">
        <f t="shared" si="0"/>
        <v>2222</v>
      </c>
      <c r="M159" s="151" t="str">
        <f t="shared" si="1"/>
        <v>TVQ A RECEVOIR</v>
      </c>
      <c r="N159" s="152">
        <f>+IF(OR($Q159=Parametres!$G$2,$Q159=Parametres!$G$3),I159,C159)</f>
        <v>59194.57</v>
      </c>
      <c r="O159" s="152">
        <f>+IF(OR($Q159=Parametres!$G$2,$Q159=Parametres!$G$3),J159,D159)</f>
        <v>-5165.7</v>
      </c>
      <c r="P159" s="152">
        <f>+IF(OR($Q159=Parametres!$G$2,$Q159=Parametres!$G$3),K159,E159)</f>
        <v>54028.87</v>
      </c>
      <c r="Q159" s="151" t="str">
        <f t="shared" si="11"/>
        <v>3-Passifs</v>
      </c>
      <c r="R159" s="150" t="str">
        <f t="shared" si="11"/>
        <v>2221</v>
      </c>
      <c r="S159" s="151">
        <f t="shared" si="11"/>
        <v>0</v>
      </c>
      <c r="T159" s="153">
        <f>+VLOOKUP($L159,Data_Validation!$A:$D,1,0)</f>
        <v>2222</v>
      </c>
      <c r="U159" s="153" t="str">
        <f>+VLOOKUP($L159,Data_Validation!$A:$D,3,0)</f>
        <v>Bilan</v>
      </c>
      <c r="V159" s="153" t="str">
        <f>+VLOOKUP($L159,Data_Validation!$A:$D,4,0)</f>
        <v>Taxes de Vente à Payer</v>
      </c>
      <c r="W159" s="153" t="str">
        <f>+VLOOKUP($L159,Data_Validation!$A:$E,5,0)</f>
        <v>$</v>
      </c>
      <c r="X159" s="153">
        <f>+VLOOKUP($L159,Data_Validation!$A:$F,6,0)</f>
        <v>0</v>
      </c>
    </row>
    <row r="160" spans="1:24" ht="15" customHeight="1">
      <c r="A160" s="1430" t="s">
        <v>2804</v>
      </c>
      <c r="B160" s="1433">
        <v>2223</v>
      </c>
      <c r="C160" s="1432">
        <v>-377779.09</v>
      </c>
      <c r="D160" s="1432">
        <v>80182.97</v>
      </c>
      <c r="E160" s="1432">
        <v>-297596.12</v>
      </c>
      <c r="F160" s="1430" t="s">
        <v>279</v>
      </c>
      <c r="G160" s="1430" t="s">
        <v>2059</v>
      </c>
      <c r="H160" s="1237"/>
      <c r="I160" s="1238"/>
      <c r="J160" s="1238"/>
      <c r="K160" s="1238"/>
      <c r="L160" s="150">
        <f t="shared" si="0"/>
        <v>2223</v>
      </c>
      <c r="M160" s="151" t="str">
        <f t="shared" si="1"/>
        <v>TPS A PAYER</v>
      </c>
      <c r="N160" s="152">
        <f>+IF(OR($Q160=Parametres!$G$2,$Q160=Parametres!$G$3),I160,C160)</f>
        <v>-377779.09</v>
      </c>
      <c r="O160" s="152">
        <f>+IF(OR($Q160=Parametres!$G$2,$Q160=Parametres!$G$3),J160,D160)</f>
        <v>80182.97</v>
      </c>
      <c r="P160" s="152">
        <f>+IF(OR($Q160=Parametres!$G$2,$Q160=Parametres!$G$3),K160,E160)</f>
        <v>-297596.12</v>
      </c>
      <c r="Q160" s="151" t="str">
        <f t="shared" si="11"/>
        <v>3-Passifs</v>
      </c>
      <c r="R160" s="150" t="str">
        <f t="shared" si="11"/>
        <v>2223</v>
      </c>
      <c r="S160" s="151">
        <f t="shared" si="11"/>
        <v>0</v>
      </c>
      <c r="T160" s="153">
        <f>+VLOOKUP($L160,Data_Validation!$A:$D,1,0)</f>
        <v>2223</v>
      </c>
      <c r="U160" s="153" t="str">
        <f>+VLOOKUP($L160,Data_Validation!$A:$D,3,0)</f>
        <v>Bilan</v>
      </c>
      <c r="V160" s="153" t="str">
        <f>+VLOOKUP($L160,Data_Validation!$A:$D,4,0)</f>
        <v>Taxes de Vente à Payer</v>
      </c>
      <c r="W160" s="153" t="str">
        <f>+VLOOKUP($L160,Data_Validation!$A:$E,5,0)</f>
        <v>$</v>
      </c>
      <c r="X160" s="153">
        <f>+VLOOKUP($L160,Data_Validation!$A:$F,6,0)</f>
        <v>0</v>
      </c>
    </row>
    <row r="161" spans="1:24" ht="15" customHeight="1">
      <c r="A161" s="1430" t="s">
        <v>2057</v>
      </c>
      <c r="B161" s="1433">
        <v>2224</v>
      </c>
      <c r="C161" s="1432">
        <v>323857.74</v>
      </c>
      <c r="D161" s="1432">
        <v>-101050.23</v>
      </c>
      <c r="E161" s="1432">
        <v>222807.51</v>
      </c>
      <c r="F161" s="1430" t="s">
        <v>279</v>
      </c>
      <c r="G161" s="1430" t="s">
        <v>2059</v>
      </c>
      <c r="H161" s="1231"/>
      <c r="I161" s="1231"/>
      <c r="J161" s="1231"/>
      <c r="K161" s="1231"/>
      <c r="L161" s="150">
        <f t="shared" si="0"/>
        <v>2224</v>
      </c>
      <c r="M161" s="151" t="str">
        <f t="shared" si="1"/>
        <v>TPS A RECEVOIR</v>
      </c>
      <c r="N161" s="152">
        <f>+IF(OR($Q161=Parametres!$G$2,$Q161=Parametres!$G$3),I161,C161)</f>
        <v>323857.74</v>
      </c>
      <c r="O161" s="152">
        <f>+IF(OR($Q161=Parametres!$G$2,$Q161=Parametres!$G$3),J161,D161)</f>
        <v>-101050.23</v>
      </c>
      <c r="P161" s="152">
        <f>+IF(OR($Q161=Parametres!$G$2,$Q161=Parametres!$G$3),K161,E161)</f>
        <v>222807.51</v>
      </c>
      <c r="Q161" s="151" t="str">
        <f t="shared" si="11"/>
        <v>3-Passifs</v>
      </c>
      <c r="R161" s="150" t="str">
        <f t="shared" si="11"/>
        <v>2223</v>
      </c>
      <c r="S161" s="151">
        <f t="shared" si="11"/>
        <v>0</v>
      </c>
      <c r="T161" s="153">
        <f>+VLOOKUP($L161,Data_Validation!$A:$D,1,0)</f>
        <v>2224</v>
      </c>
      <c r="U161" s="153" t="str">
        <f>+VLOOKUP($L161,Data_Validation!$A:$D,3,0)</f>
        <v>Bilan</v>
      </c>
      <c r="V161" s="153" t="str">
        <f>+VLOOKUP($L161,Data_Validation!$A:$D,4,0)</f>
        <v>Taxes de Vente à Payer</v>
      </c>
      <c r="W161" s="153" t="str">
        <f>+VLOOKUP($L161,Data_Validation!$A:$E,5,0)</f>
        <v>$</v>
      </c>
      <c r="X161" s="153">
        <f>+VLOOKUP($L161,Data_Validation!$A:$F,6,0)</f>
        <v>0</v>
      </c>
    </row>
    <row r="162" spans="1:24" ht="15" customHeight="1">
      <c r="A162" s="1430" t="s">
        <v>2607</v>
      </c>
      <c r="B162" s="1433">
        <v>2225</v>
      </c>
      <c r="C162" s="1432">
        <v>-2124</v>
      </c>
      <c r="D162" s="1432">
        <v>-150</v>
      </c>
      <c r="E162" s="1432">
        <v>-2274</v>
      </c>
      <c r="F162" s="1430" t="s">
        <v>279</v>
      </c>
      <c r="G162" s="1430" t="s">
        <v>2050</v>
      </c>
      <c r="H162" s="1231"/>
      <c r="I162" s="1231"/>
      <c r="J162" s="1231"/>
      <c r="K162" s="1231"/>
      <c r="L162" s="150">
        <f t="shared" si="0"/>
        <v>2225</v>
      </c>
      <c r="M162" s="151" t="str">
        <f t="shared" si="1"/>
        <v>DROIT SUR PNEUS</v>
      </c>
      <c r="N162" s="152">
        <f>+IF(OR($Q162=Parametres!$G$2,$Q162=Parametres!$G$3),I162,C162)</f>
        <v>-2124</v>
      </c>
      <c r="O162" s="152">
        <f>+IF(OR($Q162=Parametres!$G$2,$Q162=Parametres!$G$3),J162,D162)</f>
        <v>-150</v>
      </c>
      <c r="P162" s="152">
        <f>+IF(OR($Q162=Parametres!$G$2,$Q162=Parametres!$G$3),K162,E162)</f>
        <v>-2274</v>
      </c>
      <c r="Q162" s="151" t="str">
        <f t="shared" ref="Q162:S177" si="12">+F162</f>
        <v>3-Passifs</v>
      </c>
      <c r="R162" s="150" t="str">
        <f t="shared" si="12"/>
        <v>2221</v>
      </c>
      <c r="S162" s="151">
        <f t="shared" si="12"/>
        <v>0</v>
      </c>
      <c r="T162" s="153">
        <f>+VLOOKUP($L162,Data_Validation!$A:$D,1,0)</f>
        <v>2225</v>
      </c>
      <c r="U162" s="153" t="str">
        <f>+VLOOKUP($L162,Data_Validation!$A:$D,3,0)</f>
        <v>Bilan</v>
      </c>
      <c r="V162" s="153" t="str">
        <f>+VLOOKUP($L162,Data_Validation!$A:$D,4,0)</f>
        <v>Taxes de Vente à Payer</v>
      </c>
      <c r="W162" s="153" t="str">
        <f>+VLOOKUP($L162,Data_Validation!$A:$E,5,0)</f>
        <v>$</v>
      </c>
      <c r="X162" s="153">
        <f>+VLOOKUP($L162,Data_Validation!$A:$F,6,0)</f>
        <v>0</v>
      </c>
    </row>
    <row r="163" spans="1:24" ht="15.75" customHeight="1">
      <c r="A163" s="1430" t="s">
        <v>2809</v>
      </c>
      <c r="B163" s="1433">
        <v>2281</v>
      </c>
      <c r="C163" s="1432">
        <v>-250698.01</v>
      </c>
      <c r="D163" s="1432">
        <v>36642.39</v>
      </c>
      <c r="E163" s="1432">
        <v>-214055.62</v>
      </c>
      <c r="F163" s="1430" t="s">
        <v>279</v>
      </c>
      <c r="G163" s="1430" t="s">
        <v>2127</v>
      </c>
      <c r="H163" s="1231"/>
      <c r="I163" s="1231"/>
      <c r="J163" s="1231"/>
      <c r="K163" s="1231"/>
      <c r="L163" s="150">
        <f t="shared" si="0"/>
        <v>2281</v>
      </c>
      <c r="M163" s="151" t="str">
        <f t="shared" si="1"/>
        <v>LIEN A PAYER</v>
      </c>
      <c r="N163" s="152">
        <f>+IF(OR($Q163=Parametres!$G$2,$Q163=Parametres!$G$3),I163,C163)</f>
        <v>-250698.01</v>
      </c>
      <c r="O163" s="152">
        <f>+IF(OR($Q163=Parametres!$G$2,$Q163=Parametres!$G$3),J163,D163)</f>
        <v>36642.39</v>
      </c>
      <c r="P163" s="152">
        <f>+IF(OR($Q163=Parametres!$G$2,$Q163=Parametres!$G$3),K163,E163)</f>
        <v>-214055.62</v>
      </c>
      <c r="Q163" s="151" t="str">
        <f t="shared" si="12"/>
        <v>3-Passifs</v>
      </c>
      <c r="R163" s="150" t="str">
        <f t="shared" si="12"/>
        <v>2283</v>
      </c>
      <c r="S163" s="151">
        <f t="shared" si="12"/>
        <v>0</v>
      </c>
      <c r="T163" s="153">
        <f>+VLOOKUP($L163,Data_Validation!$A:$D,1,0)</f>
        <v>2281</v>
      </c>
      <c r="U163" s="153" t="str">
        <f>+VLOOKUP($L163,Data_Validation!$A:$D,3,0)</f>
        <v>Bilan</v>
      </c>
      <c r="V163" s="153" t="str">
        <f>+VLOOKUP($L163,Data_Validation!$A:$D,4,0)</f>
        <v>Autres Comptes à Payer</v>
      </c>
      <c r="W163" s="153" t="str">
        <f>+VLOOKUP($L163,Data_Validation!$A:$E,5,0)</f>
        <v>$</v>
      </c>
      <c r="X163" s="153">
        <f>+VLOOKUP($L163,Data_Validation!$A:$F,6,0)</f>
        <v>0</v>
      </c>
    </row>
    <row r="164" spans="1:24" ht="15" customHeight="1">
      <c r="A164" s="1430" t="s">
        <v>2166</v>
      </c>
      <c r="B164" s="1433">
        <v>2283</v>
      </c>
      <c r="C164" s="1432">
        <v>0</v>
      </c>
      <c r="D164" s="1432">
        <v>-950</v>
      </c>
      <c r="E164" s="1432">
        <v>-950</v>
      </c>
      <c r="F164" s="1430" t="s">
        <v>279</v>
      </c>
      <c r="G164" s="1430" t="s">
        <v>2127</v>
      </c>
      <c r="H164" s="1231"/>
      <c r="I164" s="1231"/>
      <c r="J164" s="1231"/>
      <c r="K164" s="1231"/>
      <c r="L164" s="150">
        <f t="shared" si="0"/>
        <v>2283</v>
      </c>
      <c r="M164" s="151" t="str">
        <f t="shared" si="1"/>
        <v>PLAQUE A PAYER</v>
      </c>
      <c r="N164" s="152">
        <f>+IF(OR($Q164=Parametres!$G$2,$Q164=Parametres!$G$3),I164,C164)</f>
        <v>0</v>
      </c>
      <c r="O164" s="152">
        <f>+IF(OR($Q164=Parametres!$G$2,$Q164=Parametres!$G$3),J164,D164)</f>
        <v>-950</v>
      </c>
      <c r="P164" s="152">
        <f>+IF(OR($Q164=Parametres!$G$2,$Q164=Parametres!$G$3),K164,E164)</f>
        <v>-950</v>
      </c>
      <c r="Q164" s="151" t="str">
        <f t="shared" si="12"/>
        <v>3-Passifs</v>
      </c>
      <c r="R164" s="150" t="str">
        <f t="shared" si="12"/>
        <v>2283</v>
      </c>
      <c r="S164" s="151">
        <f t="shared" si="12"/>
        <v>0</v>
      </c>
      <c r="T164" s="153">
        <f>+VLOOKUP($L164,Data_Validation!$A:$D,1,0)</f>
        <v>2283</v>
      </c>
      <c r="U164" s="153" t="str">
        <f>+VLOOKUP($L164,Data_Validation!$A:$D,3,0)</f>
        <v>Bilan</v>
      </c>
      <c r="V164" s="153" t="str">
        <f>+VLOOKUP($L164,Data_Validation!$A:$D,4,0)</f>
        <v>Autres Comptes à Payer</v>
      </c>
      <c r="W164" s="153" t="str">
        <f>+VLOOKUP($L164,Data_Validation!$A:$E,5,0)</f>
        <v>$</v>
      </c>
      <c r="X164" s="153">
        <f>+VLOOKUP($L164,Data_Validation!$A:$F,6,0)</f>
        <v>0</v>
      </c>
    </row>
    <row r="165" spans="1:24" ht="15" customHeight="1">
      <c r="A165" s="1430" t="s">
        <v>2763</v>
      </c>
      <c r="B165" s="1433">
        <v>2285</v>
      </c>
      <c r="C165" s="1432">
        <v>-100957.15</v>
      </c>
      <c r="D165" s="1432">
        <v>6304.95</v>
      </c>
      <c r="E165" s="1432">
        <v>-94652.2</v>
      </c>
      <c r="F165" s="1430" t="s">
        <v>279</v>
      </c>
      <c r="G165" s="1430" t="s">
        <v>2127</v>
      </c>
      <c r="H165" s="1231"/>
      <c r="I165" s="1232"/>
      <c r="J165" s="1232"/>
      <c r="K165" s="1232"/>
      <c r="L165" s="150">
        <f t="shared" si="0"/>
        <v>2285</v>
      </c>
      <c r="M165" s="151" t="str">
        <f t="shared" si="1"/>
        <v>PROTECTIONS A PAYER</v>
      </c>
      <c r="N165" s="152">
        <f>+IF(OR($Q165=Parametres!$G$2,$Q165=Parametres!$G$3),I165,C165)</f>
        <v>-100957.15</v>
      </c>
      <c r="O165" s="152">
        <f>+IF(OR($Q165=Parametres!$G$2,$Q165=Parametres!$G$3),J165,D165)</f>
        <v>6304.95</v>
      </c>
      <c r="P165" s="152">
        <f>+IF(OR($Q165=Parametres!$G$2,$Q165=Parametres!$G$3),K165,E165)</f>
        <v>-94652.2</v>
      </c>
      <c r="Q165" s="151" t="str">
        <f t="shared" si="12"/>
        <v>3-Passifs</v>
      </c>
      <c r="R165" s="150" t="str">
        <f t="shared" si="12"/>
        <v>2283</v>
      </c>
      <c r="S165" s="151">
        <f t="shared" si="12"/>
        <v>0</v>
      </c>
      <c r="T165" s="153">
        <f>+VLOOKUP($L165,Data_Validation!$A:$D,1,0)</f>
        <v>2285</v>
      </c>
      <c r="U165" s="153" t="str">
        <f>+VLOOKUP($L165,Data_Validation!$A:$D,3,0)</f>
        <v>Bilan</v>
      </c>
      <c r="V165" s="153" t="str">
        <f>+VLOOKUP($L165,Data_Validation!$A:$D,4,0)</f>
        <v>Autres Comptes à Payer</v>
      </c>
      <c r="W165" s="153" t="str">
        <f>+VLOOKUP($L165,Data_Validation!$A:$E,5,0)</f>
        <v>$</v>
      </c>
      <c r="X165" s="153">
        <f>+VLOOKUP($L165,Data_Validation!$A:$F,6,0)</f>
        <v>0</v>
      </c>
    </row>
    <row r="166" spans="1:24" ht="15" customHeight="1">
      <c r="A166" s="1430" t="s">
        <v>2737</v>
      </c>
      <c r="B166" s="1433">
        <v>2287</v>
      </c>
      <c r="C166" s="1432">
        <v>-16126.1</v>
      </c>
      <c r="D166" s="1432">
        <v>1037.79</v>
      </c>
      <c r="E166" s="1432">
        <v>-15088.31</v>
      </c>
      <c r="F166" s="1430" t="s">
        <v>279</v>
      </c>
      <c r="G166" s="1430" t="s">
        <v>2127</v>
      </c>
      <c r="H166" s="1231"/>
      <c r="I166" s="1231"/>
      <c r="J166" s="1231"/>
      <c r="K166" s="1231"/>
      <c r="L166" s="150">
        <f t="shared" si="0"/>
        <v>2287</v>
      </c>
      <c r="M166" s="151" t="str">
        <f t="shared" si="1"/>
        <v>A PAYER INVAPLAN</v>
      </c>
      <c r="N166" s="152">
        <f>+IF(OR($Q166=Parametres!$G$2,$Q166=Parametres!$G$3),I166,C166)</f>
        <v>-16126.1</v>
      </c>
      <c r="O166" s="152">
        <f>+IF(OR($Q166=Parametres!$G$2,$Q166=Parametres!$G$3),J166,D166)</f>
        <v>1037.79</v>
      </c>
      <c r="P166" s="152">
        <f>+IF(OR($Q166=Parametres!$G$2,$Q166=Parametres!$G$3),K166,E166)</f>
        <v>-15088.31</v>
      </c>
      <c r="Q166" s="151" t="str">
        <f t="shared" si="12"/>
        <v>3-Passifs</v>
      </c>
      <c r="R166" s="150" t="str">
        <f t="shared" si="12"/>
        <v>2283</v>
      </c>
      <c r="S166" s="151">
        <f t="shared" si="12"/>
        <v>0</v>
      </c>
      <c r="T166" s="153">
        <f>+VLOOKUP($L166,Data_Validation!$A:$D,1,0)</f>
        <v>2287</v>
      </c>
      <c r="U166" s="153" t="str">
        <f>+VLOOKUP($L166,Data_Validation!$A:$D,3,0)</f>
        <v>Bilan</v>
      </c>
      <c r="V166" s="153" t="str">
        <f>+VLOOKUP($L166,Data_Validation!$A:$D,4,0)</f>
        <v>Autres Comptes à Payer</v>
      </c>
      <c r="W166" s="153" t="str">
        <f>+VLOOKUP($L166,Data_Validation!$A:$E,5,0)</f>
        <v>$</v>
      </c>
      <c r="X166" s="153">
        <f>+VLOOKUP($L166,Data_Validation!$A:$F,6,0)</f>
        <v>0</v>
      </c>
    </row>
    <row r="167" spans="1:24" ht="15" customHeight="1">
      <c r="A167" s="1430" t="s">
        <v>2002</v>
      </c>
      <c r="B167" s="1433">
        <v>2291</v>
      </c>
      <c r="C167" s="1432">
        <v>-128827.78</v>
      </c>
      <c r="D167" s="1432">
        <v>77517.490000000005</v>
      </c>
      <c r="E167" s="1432">
        <v>-51310.29</v>
      </c>
      <c r="F167" s="1430" t="s">
        <v>279</v>
      </c>
      <c r="G167" s="1430" t="s">
        <v>2003</v>
      </c>
      <c r="H167" s="1231"/>
      <c r="I167" s="1232"/>
      <c r="J167" s="1232"/>
      <c r="K167" s="1232"/>
      <c r="L167" s="150">
        <f t="shared" si="0"/>
        <v>2291</v>
      </c>
      <c r="M167" s="151" t="str">
        <f t="shared" si="1"/>
        <v>COMPTES FOURNISSEURS</v>
      </c>
      <c r="N167" s="152">
        <f>+IF(OR($Q167=Parametres!$G$2,$Q167=Parametres!$G$3),I167,C167)</f>
        <v>-128827.78</v>
      </c>
      <c r="O167" s="152">
        <f>+IF(OR($Q167=Parametres!$G$2,$Q167=Parametres!$G$3),J167,D167)</f>
        <v>77517.490000000005</v>
      </c>
      <c r="P167" s="152">
        <f>+IF(OR($Q167=Parametres!$G$2,$Q167=Parametres!$G$3),K167,E167)</f>
        <v>-51310.29</v>
      </c>
      <c r="Q167" s="151" t="str">
        <f t="shared" si="12"/>
        <v>3-Passifs</v>
      </c>
      <c r="R167" s="150" t="str">
        <f t="shared" si="12"/>
        <v>2291</v>
      </c>
      <c r="S167" s="151">
        <f t="shared" si="12"/>
        <v>0</v>
      </c>
      <c r="T167" s="153">
        <f>+VLOOKUP($L167,Data_Validation!$A:$D,1,0)</f>
        <v>2291</v>
      </c>
      <c r="U167" s="153" t="str">
        <f>+VLOOKUP($L167,Data_Validation!$A:$D,3,0)</f>
        <v>Bilan</v>
      </c>
      <c r="V167" s="153" t="str">
        <f>+VLOOKUP($L167,Data_Validation!$A:$D,4,0)</f>
        <v>Comptes à Payer Fournisseurs</v>
      </c>
      <c r="W167" s="153" t="str">
        <f>+VLOOKUP($L167,Data_Validation!$A:$E,5,0)</f>
        <v>$</v>
      </c>
      <c r="X167" s="153">
        <f>+VLOOKUP($L167,Data_Validation!$A:$F,6,0)</f>
        <v>0</v>
      </c>
    </row>
    <row r="168" spans="1:24" ht="15.75" customHeight="1">
      <c r="A168" s="1430" t="s">
        <v>2042</v>
      </c>
      <c r="B168" s="1433">
        <v>2292</v>
      </c>
      <c r="C168" s="1432">
        <v>-138135.20000000001</v>
      </c>
      <c r="D168" s="1432">
        <v>92441.61</v>
      </c>
      <c r="E168" s="1432">
        <v>-45693.59</v>
      </c>
      <c r="F168" s="1430" t="s">
        <v>279</v>
      </c>
      <c r="G168" s="1430" t="s">
        <v>2003</v>
      </c>
      <c r="H168" s="1231"/>
      <c r="I168" s="1231"/>
      <c r="J168" s="1231"/>
      <c r="K168" s="1231"/>
      <c r="L168" s="150">
        <f t="shared" si="0"/>
        <v>2292</v>
      </c>
      <c r="M168" s="151" t="str">
        <f t="shared" si="1"/>
        <v>ECHANGE ENTRE CONCESSIONNAIRES</v>
      </c>
      <c r="N168" s="152">
        <f>+IF(OR($Q168=Parametres!$G$2,$Q168=Parametres!$G$3),I168,C168)</f>
        <v>-138135.20000000001</v>
      </c>
      <c r="O168" s="152">
        <f>+IF(OR($Q168=Parametres!$G$2,$Q168=Parametres!$G$3),J168,D168)</f>
        <v>92441.61</v>
      </c>
      <c r="P168" s="152">
        <f>+IF(OR($Q168=Parametres!$G$2,$Q168=Parametres!$G$3),K168,E168)</f>
        <v>-45693.59</v>
      </c>
      <c r="Q168" s="151" t="str">
        <f t="shared" si="12"/>
        <v>3-Passifs</v>
      </c>
      <c r="R168" s="150" t="str">
        <f t="shared" si="12"/>
        <v>2291</v>
      </c>
      <c r="S168" s="151">
        <f t="shared" si="12"/>
        <v>0</v>
      </c>
      <c r="T168" s="153">
        <f>+VLOOKUP($L168,Data_Validation!$A:$D,1,0)</f>
        <v>2292</v>
      </c>
      <c r="U168" s="153" t="str">
        <f>+VLOOKUP($L168,Data_Validation!$A:$D,3,0)</f>
        <v>Bilan</v>
      </c>
      <c r="V168" s="153" t="str">
        <f>+VLOOKUP($L168,Data_Validation!$A:$D,4,0)</f>
        <v>Autres Comptes à Payer</v>
      </c>
      <c r="W168" s="153" t="str">
        <f>+VLOOKUP($L168,Data_Validation!$A:$E,5,0)</f>
        <v>$</v>
      </c>
      <c r="X168" s="153">
        <f>+VLOOKUP($L168,Data_Validation!$A:$F,6,0)</f>
        <v>0</v>
      </c>
    </row>
    <row r="169" spans="1:24" ht="15" customHeight="1">
      <c r="A169" s="1430" t="s">
        <v>2410</v>
      </c>
      <c r="B169" s="1433">
        <v>2295</v>
      </c>
      <c r="C169" s="1432">
        <v>-175.35</v>
      </c>
      <c r="D169" s="1432">
        <v>175.35</v>
      </c>
      <c r="E169" s="1432">
        <v>0</v>
      </c>
      <c r="F169" s="1430" t="s">
        <v>279</v>
      </c>
      <c r="G169" s="1430" t="s">
        <v>2126</v>
      </c>
      <c r="H169" s="1231"/>
      <c r="I169" s="1232"/>
      <c r="J169" s="1232"/>
      <c r="K169" s="1232"/>
      <c r="L169" s="150">
        <f t="shared" si="0"/>
        <v>2295</v>
      </c>
      <c r="M169" s="151" t="str">
        <f t="shared" si="1"/>
        <v>RESERVE ESSENCE</v>
      </c>
      <c r="N169" s="152">
        <f>+IF(OR($Q169=Parametres!$G$2,$Q169=Parametres!$G$3),I169,C169)</f>
        <v>-175.35</v>
      </c>
      <c r="O169" s="152">
        <f>+IF(OR($Q169=Parametres!$G$2,$Q169=Parametres!$G$3),J169,D169)</f>
        <v>175.35</v>
      </c>
      <c r="P169" s="152">
        <f>+IF(OR($Q169=Parametres!$G$2,$Q169=Parametres!$G$3),K169,E169)</f>
        <v>0</v>
      </c>
      <c r="Q169" s="151" t="str">
        <f t="shared" si="12"/>
        <v>3-Passifs</v>
      </c>
      <c r="R169" s="150" t="str">
        <f t="shared" si="12"/>
        <v>2293</v>
      </c>
      <c r="S169" s="151">
        <f t="shared" si="12"/>
        <v>0</v>
      </c>
      <c r="T169" s="153">
        <f>+VLOOKUP($L169,Data_Validation!$A:$D,1,0)</f>
        <v>2295</v>
      </c>
      <c r="U169" s="153" t="str">
        <f>+VLOOKUP($L169,Data_Validation!$A:$D,3,0)</f>
        <v>Bilan</v>
      </c>
      <c r="V169" s="153" t="str">
        <f>+VLOOKUP($L169,Data_Validation!$A:$D,4,0)</f>
        <v>Autres Courus</v>
      </c>
      <c r="W169" s="153" t="str">
        <f>+VLOOKUP($L169,Data_Validation!$A:$E,5,0)</f>
        <v>$</v>
      </c>
      <c r="X169" s="153">
        <f>+VLOOKUP($L169,Data_Validation!$A:$F,6,0)</f>
        <v>0</v>
      </c>
    </row>
    <row r="170" spans="1:24" ht="15" customHeight="1">
      <c r="A170" s="1430" t="s">
        <v>3613</v>
      </c>
      <c r="B170" s="1433">
        <v>2296</v>
      </c>
      <c r="C170" s="1432">
        <v>0</v>
      </c>
      <c r="D170" s="1432">
        <v>-178201.83</v>
      </c>
      <c r="E170" s="1432">
        <v>-178201.83</v>
      </c>
      <c r="F170" s="1430" t="s">
        <v>279</v>
      </c>
      <c r="G170" s="1430" t="s">
        <v>2003</v>
      </c>
      <c r="H170" s="1231"/>
      <c r="I170" s="1231"/>
      <c r="J170" s="1231"/>
      <c r="K170" s="1231"/>
      <c r="L170" s="150">
        <f t="shared" si="0"/>
        <v>2296</v>
      </c>
      <c r="M170" s="151" t="str">
        <f t="shared" si="1"/>
        <v>COMPTE FOURNISSEURS INTERCO</v>
      </c>
      <c r="N170" s="152">
        <f>+IF(OR($Q170=Parametres!$G$2,$Q170=Parametres!$G$3),I170,C170)</f>
        <v>0</v>
      </c>
      <c r="O170" s="152">
        <f>+IF(OR($Q170=Parametres!$G$2,$Q170=Parametres!$G$3),J170,D170)</f>
        <v>-178201.83</v>
      </c>
      <c r="P170" s="152">
        <f>+IF(OR($Q170=Parametres!$G$2,$Q170=Parametres!$G$3),K170,E170)</f>
        <v>-178201.83</v>
      </c>
      <c r="Q170" s="151" t="str">
        <f t="shared" si="12"/>
        <v>3-Passifs</v>
      </c>
      <c r="R170" s="150" t="str">
        <f t="shared" si="12"/>
        <v>2291</v>
      </c>
      <c r="S170" s="151">
        <f t="shared" si="12"/>
        <v>0</v>
      </c>
      <c r="T170" s="153">
        <f>+VLOOKUP($L170,Data_Validation!$A:$D,1,0)</f>
        <v>2296</v>
      </c>
      <c r="U170" s="153" t="str">
        <f>+VLOOKUP($L170,Data_Validation!$A:$D,3,0)</f>
        <v>Bilan</v>
      </c>
      <c r="V170" s="153" t="str">
        <f>+VLOOKUP($L170,Data_Validation!$A:$D,4,0)</f>
        <v>Payables Intercos</v>
      </c>
      <c r="W170" s="153" t="str">
        <f>+VLOOKUP($L170,Data_Validation!$A:$E,5,0)</f>
        <v>$</v>
      </c>
      <c r="X170" s="153">
        <f>+VLOOKUP($L170,Data_Validation!$A:$F,6,0)</f>
        <v>0</v>
      </c>
    </row>
    <row r="171" spans="1:24" ht="15" customHeight="1">
      <c r="A171" s="1430" t="s">
        <v>2139</v>
      </c>
      <c r="B171" s="1433">
        <v>2297</v>
      </c>
      <c r="C171" s="1432">
        <v>-4750</v>
      </c>
      <c r="D171" s="1432">
        <v>-2100</v>
      </c>
      <c r="E171" s="1432">
        <v>-6850</v>
      </c>
      <c r="F171" s="1430" t="s">
        <v>279</v>
      </c>
      <c r="G171" s="1430" t="s">
        <v>2127</v>
      </c>
      <c r="H171" s="1231"/>
      <c r="I171" s="1232"/>
      <c r="J171" s="1232"/>
      <c r="K171" s="1232"/>
      <c r="L171" s="150">
        <f t="shared" si="0"/>
        <v>2297</v>
      </c>
      <c r="M171" s="151" t="str">
        <f t="shared" si="1"/>
        <v>RESERVE RENOUVELLEMENT</v>
      </c>
      <c r="N171" s="152">
        <f>+IF(OR($Q171=Parametres!$G$2,$Q171=Parametres!$G$3),I171,C171)</f>
        <v>-4750</v>
      </c>
      <c r="O171" s="152">
        <f>+IF(OR($Q171=Parametres!$G$2,$Q171=Parametres!$G$3),J171,D171)</f>
        <v>-2100</v>
      </c>
      <c r="P171" s="152">
        <f>+IF(OR($Q171=Parametres!$G$2,$Q171=Parametres!$G$3),K171,E171)</f>
        <v>-6850</v>
      </c>
      <c r="Q171" s="151" t="str">
        <f t="shared" si="12"/>
        <v>3-Passifs</v>
      </c>
      <c r="R171" s="150" t="str">
        <f t="shared" si="12"/>
        <v>2283</v>
      </c>
      <c r="S171" s="151">
        <f t="shared" si="12"/>
        <v>0</v>
      </c>
      <c r="T171" s="153">
        <f>+VLOOKUP($L171,Data_Validation!$A:$D,1,0)</f>
        <v>2297</v>
      </c>
      <c r="U171" s="153" t="str">
        <f>+VLOOKUP($L171,Data_Validation!$A:$D,3,0)</f>
        <v>Bilan</v>
      </c>
      <c r="V171" s="153" t="str">
        <f>+VLOOKUP($L171,Data_Validation!$A:$D,4,0)</f>
        <v>Autres Courus</v>
      </c>
      <c r="W171" s="153" t="str">
        <f>+VLOOKUP($L171,Data_Validation!$A:$E,5,0)</f>
        <v>$</v>
      </c>
      <c r="X171" s="153">
        <f>+VLOOKUP($L171,Data_Validation!$A:$F,6,0)</f>
        <v>0</v>
      </c>
    </row>
    <row r="172" spans="1:24" ht="15.75" customHeight="1">
      <c r="A172" s="1430" t="s">
        <v>2701</v>
      </c>
      <c r="B172" s="1433">
        <v>2315</v>
      </c>
      <c r="C172" s="1432">
        <v>4987.8599999999997</v>
      </c>
      <c r="D172" s="1432">
        <v>-2113.5100000000002</v>
      </c>
      <c r="E172" s="1432">
        <v>2874.35</v>
      </c>
      <c r="F172" s="1430" t="s">
        <v>279</v>
      </c>
      <c r="G172" s="1430" t="s">
        <v>2155</v>
      </c>
      <c r="H172" s="1231"/>
      <c r="I172" s="1231"/>
      <c r="J172" s="1231"/>
      <c r="K172" s="1231"/>
      <c r="L172" s="150">
        <f t="shared" si="0"/>
        <v>2315</v>
      </c>
      <c r="M172" s="151" t="str">
        <f t="shared" si="1"/>
        <v>PRIME ASSURANCE GROUPE</v>
      </c>
      <c r="N172" s="152">
        <f>+IF(OR($Q172=Parametres!$G$2,$Q172=Parametres!$G$3),I172,C172)</f>
        <v>4987.8599999999997</v>
      </c>
      <c r="O172" s="152">
        <f>+IF(OR($Q172=Parametres!$G$2,$Q172=Parametres!$G$3),J172,D172)</f>
        <v>-2113.5100000000002</v>
      </c>
      <c r="P172" s="152">
        <f>+IF(OR($Q172=Parametres!$G$2,$Q172=Parametres!$G$3),K172,E172)</f>
        <v>2874.35</v>
      </c>
      <c r="Q172" s="151" t="str">
        <f t="shared" si="12"/>
        <v>3-Passifs</v>
      </c>
      <c r="R172" s="150" t="str">
        <f t="shared" si="12"/>
        <v>2315</v>
      </c>
      <c r="S172" s="151">
        <f t="shared" si="12"/>
        <v>0</v>
      </c>
      <c r="T172" s="153">
        <f>+VLOOKUP($L172,Data_Validation!$A:$D,1,0)</f>
        <v>2315</v>
      </c>
      <c r="U172" s="153" t="str">
        <f>+VLOOKUP($L172,Data_Validation!$A:$D,3,0)</f>
        <v>Bilan</v>
      </c>
      <c r="V172" s="153" t="str">
        <f>+VLOOKUP($L172,Data_Validation!$A:$D,4,0)</f>
        <v>DAS à Payer</v>
      </c>
      <c r="W172" s="153" t="str">
        <f>+VLOOKUP($L172,Data_Validation!$A:$E,5,0)</f>
        <v>$</v>
      </c>
      <c r="X172" s="153">
        <f>+VLOOKUP($L172,Data_Validation!$A:$F,6,0)</f>
        <v>0</v>
      </c>
    </row>
    <row r="173" spans="1:24" ht="15" customHeight="1">
      <c r="A173" s="1430" t="s">
        <v>2153</v>
      </c>
      <c r="B173" s="1433">
        <v>2335</v>
      </c>
      <c r="C173" s="1432">
        <v>497.36</v>
      </c>
      <c r="D173" s="1432">
        <v>91.83</v>
      </c>
      <c r="E173" s="1432">
        <v>589.19000000000005</v>
      </c>
      <c r="F173" s="1430" t="s">
        <v>279</v>
      </c>
      <c r="G173" s="1430" t="s">
        <v>2155</v>
      </c>
      <c r="H173" s="1231"/>
      <c r="I173" s="1232"/>
      <c r="J173" s="1232"/>
      <c r="K173" s="1232"/>
      <c r="L173" s="150">
        <f t="shared" si="0"/>
        <v>2335</v>
      </c>
      <c r="M173" s="151" t="str">
        <f t="shared" si="1"/>
        <v>COMITE SOCIAL</v>
      </c>
      <c r="N173" s="152">
        <f>+IF(OR($Q173=Parametres!$G$2,$Q173=Parametres!$G$3),I173,C173)</f>
        <v>497.36</v>
      </c>
      <c r="O173" s="152">
        <f>+IF(OR($Q173=Parametres!$G$2,$Q173=Parametres!$G$3),J173,D173)</f>
        <v>91.83</v>
      </c>
      <c r="P173" s="152">
        <f>+IF(OR($Q173=Parametres!$G$2,$Q173=Parametres!$G$3),K173,E173)</f>
        <v>589.19000000000005</v>
      </c>
      <c r="Q173" s="151" t="str">
        <f t="shared" si="12"/>
        <v>3-Passifs</v>
      </c>
      <c r="R173" s="150" t="str">
        <f t="shared" si="12"/>
        <v>2315</v>
      </c>
      <c r="S173" s="151">
        <f t="shared" si="12"/>
        <v>0</v>
      </c>
      <c r="T173" s="153">
        <f>+VLOOKUP($L173,Data_Validation!$A:$D,1,0)</f>
        <v>2335</v>
      </c>
      <c r="U173" s="153" t="str">
        <f>+VLOOKUP($L173,Data_Validation!$A:$D,3,0)</f>
        <v>Bilan</v>
      </c>
      <c r="V173" s="153" t="str">
        <f>+VLOOKUP($L173,Data_Validation!$A:$D,4,0)</f>
        <v>DAS à Payer</v>
      </c>
      <c r="W173" s="153" t="str">
        <f>+VLOOKUP($L173,Data_Validation!$A:$E,5,0)</f>
        <v>$</v>
      </c>
      <c r="X173" s="153">
        <f>+VLOOKUP($L173,Data_Validation!$A:$F,6,0)</f>
        <v>0</v>
      </c>
    </row>
    <row r="174" spans="1:24" ht="15" customHeight="1">
      <c r="A174" s="1430" t="s">
        <v>2740</v>
      </c>
      <c r="B174" s="1433">
        <v>2342</v>
      </c>
      <c r="C174" s="1432">
        <v>-27720.31</v>
      </c>
      <c r="D174" s="1432">
        <v>-1622.71</v>
      </c>
      <c r="E174" s="1432">
        <v>-29343.02</v>
      </c>
      <c r="F174" s="1430" t="s">
        <v>279</v>
      </c>
      <c r="G174" s="1430" t="s">
        <v>2155</v>
      </c>
      <c r="H174" s="1231"/>
      <c r="I174" s="1231"/>
      <c r="J174" s="1231"/>
      <c r="K174" s="1231"/>
      <c r="L174" s="150">
        <f t="shared" si="0"/>
        <v>2342</v>
      </c>
      <c r="M174" s="151" t="str">
        <f t="shared" si="1"/>
        <v>REER STANDARD LIFE</v>
      </c>
      <c r="N174" s="152">
        <f>+IF(OR($Q174=Parametres!$G$2,$Q174=Parametres!$G$3),I174,C174)</f>
        <v>-27720.31</v>
      </c>
      <c r="O174" s="152">
        <f>+IF(OR($Q174=Parametres!$G$2,$Q174=Parametres!$G$3),J174,D174)</f>
        <v>-1622.71</v>
      </c>
      <c r="P174" s="152">
        <f>+IF(OR($Q174=Parametres!$G$2,$Q174=Parametres!$G$3),K174,E174)</f>
        <v>-29343.02</v>
      </c>
      <c r="Q174" s="151" t="str">
        <f t="shared" si="12"/>
        <v>3-Passifs</v>
      </c>
      <c r="R174" s="150" t="str">
        <f t="shared" si="12"/>
        <v>2315</v>
      </c>
      <c r="S174" s="151">
        <f t="shared" si="12"/>
        <v>0</v>
      </c>
      <c r="T174" s="153">
        <f>+VLOOKUP($L174,Data_Validation!$A:$D,1,0)</f>
        <v>2342</v>
      </c>
      <c r="U174" s="153" t="str">
        <f>+VLOOKUP($L174,Data_Validation!$A:$D,3,0)</f>
        <v>Bilan</v>
      </c>
      <c r="V174" s="153" t="str">
        <f>+VLOOKUP($L174,Data_Validation!$A:$D,4,0)</f>
        <v>DAS à Payer</v>
      </c>
      <c r="W174" s="153" t="str">
        <f>+VLOOKUP($L174,Data_Validation!$A:$E,5,0)</f>
        <v>$</v>
      </c>
      <c r="X174" s="153">
        <f>+VLOOKUP($L174,Data_Validation!$A:$F,6,0)</f>
        <v>0</v>
      </c>
    </row>
    <row r="175" spans="1:24" ht="15" customHeight="1">
      <c r="A175" s="1430" t="s">
        <v>2573</v>
      </c>
      <c r="B175" s="1433">
        <v>2343</v>
      </c>
      <c r="C175" s="1432">
        <v>-330</v>
      </c>
      <c r="D175" s="1432">
        <v>-193.98</v>
      </c>
      <c r="E175" s="1432">
        <v>-523.98</v>
      </c>
      <c r="F175" s="1430" t="s">
        <v>279</v>
      </c>
      <c r="G175" s="1430" t="s">
        <v>2155</v>
      </c>
      <c r="H175" s="1231"/>
      <c r="I175" s="1232"/>
      <c r="J175" s="1232"/>
      <c r="K175" s="1232"/>
      <c r="L175" s="150">
        <f t="shared" si="0"/>
        <v>2343</v>
      </c>
      <c r="M175" s="151" t="str">
        <f t="shared" si="1"/>
        <v>COMITE PARITAIRE</v>
      </c>
      <c r="N175" s="152">
        <f>+IF(OR($Q175=Parametres!$G$2,$Q175=Parametres!$G$3),I175,C175)</f>
        <v>-330</v>
      </c>
      <c r="O175" s="152">
        <f>+IF(OR($Q175=Parametres!$G$2,$Q175=Parametres!$G$3),J175,D175)</f>
        <v>-193.98</v>
      </c>
      <c r="P175" s="152">
        <f>+IF(OR($Q175=Parametres!$G$2,$Q175=Parametres!$G$3),K175,E175)</f>
        <v>-523.98</v>
      </c>
      <c r="Q175" s="151" t="str">
        <f t="shared" si="12"/>
        <v>3-Passifs</v>
      </c>
      <c r="R175" s="150" t="str">
        <f t="shared" si="12"/>
        <v>2315</v>
      </c>
      <c r="S175" s="151">
        <f t="shared" si="12"/>
        <v>0</v>
      </c>
      <c r="T175" s="153">
        <f>+VLOOKUP($L175,Data_Validation!$A:$D,1,0)</f>
        <v>2343</v>
      </c>
      <c r="U175" s="153" t="str">
        <f>+VLOOKUP($L175,Data_Validation!$A:$D,3,0)</f>
        <v>Bilan</v>
      </c>
      <c r="V175" s="153" t="str">
        <f>+VLOOKUP($L175,Data_Validation!$A:$D,4,0)</f>
        <v>DAS à Payer</v>
      </c>
      <c r="W175" s="153" t="str">
        <f>+VLOOKUP($L175,Data_Validation!$A:$E,5,0)</f>
        <v>$</v>
      </c>
      <c r="X175" s="153">
        <f>+VLOOKUP($L175,Data_Validation!$A:$F,6,0)</f>
        <v>0</v>
      </c>
    </row>
    <row r="176" spans="1:24" ht="15.75" customHeight="1">
      <c r="A176" s="1430" t="s">
        <v>533</v>
      </c>
      <c r="B176" s="1433">
        <v>2344</v>
      </c>
      <c r="C176" s="1432">
        <v>-728</v>
      </c>
      <c r="D176" s="1432">
        <v>480</v>
      </c>
      <c r="E176" s="1432">
        <v>-248</v>
      </c>
      <c r="F176" s="1430" t="s">
        <v>279</v>
      </c>
      <c r="G176" s="1430" t="s">
        <v>2155</v>
      </c>
      <c r="H176" s="1231"/>
      <c r="I176" s="1231"/>
      <c r="J176" s="1231"/>
      <c r="K176" s="1231"/>
      <c r="L176" s="150">
        <f t="shared" si="0"/>
        <v>2344</v>
      </c>
      <c r="M176" s="151" t="str">
        <f t="shared" si="1"/>
        <v>CENTRAIDE</v>
      </c>
      <c r="N176" s="152">
        <f>+IF(OR($Q176=Parametres!$G$2,$Q176=Parametres!$G$3),I176,C176)</f>
        <v>-728</v>
      </c>
      <c r="O176" s="152">
        <f>+IF(OR($Q176=Parametres!$G$2,$Q176=Parametres!$G$3),J176,D176)</f>
        <v>480</v>
      </c>
      <c r="P176" s="152">
        <f>+IF(OR($Q176=Parametres!$G$2,$Q176=Parametres!$G$3),K176,E176)</f>
        <v>-248</v>
      </c>
      <c r="Q176" s="151" t="str">
        <f t="shared" si="12"/>
        <v>3-Passifs</v>
      </c>
      <c r="R176" s="150" t="str">
        <f t="shared" si="12"/>
        <v>2315</v>
      </c>
      <c r="S176" s="151">
        <f t="shared" si="12"/>
        <v>0</v>
      </c>
      <c r="T176" s="153">
        <f>+VLOOKUP($L176,Data_Validation!$A:$D,1,0)</f>
        <v>2344</v>
      </c>
      <c r="U176" s="153" t="str">
        <f>+VLOOKUP($L176,Data_Validation!$A:$D,3,0)</f>
        <v>Bilan</v>
      </c>
      <c r="V176" s="153" t="str">
        <f>+VLOOKUP($L176,Data_Validation!$A:$D,4,0)</f>
        <v>DAS à Payer</v>
      </c>
      <c r="W176" s="153" t="str">
        <f>+VLOOKUP($L176,Data_Validation!$A:$E,5,0)</f>
        <v>$</v>
      </c>
      <c r="X176" s="153">
        <f>+VLOOKUP($L176,Data_Validation!$A:$F,6,0)</f>
        <v>0</v>
      </c>
    </row>
    <row r="177" spans="1:24" ht="15" customHeight="1">
      <c r="A177" s="1430" t="s">
        <v>2186</v>
      </c>
      <c r="B177" s="1433">
        <v>2401</v>
      </c>
      <c r="C177" s="1432">
        <v>-11300</v>
      </c>
      <c r="D177" s="1432">
        <v>900</v>
      </c>
      <c r="E177" s="1432">
        <v>-10400</v>
      </c>
      <c r="F177" s="1430" t="s">
        <v>279</v>
      </c>
      <c r="G177" s="1430" t="s">
        <v>2187</v>
      </c>
      <c r="H177" s="1431"/>
      <c r="I177" s="1431"/>
      <c r="J177" s="1431"/>
      <c r="K177" s="1431"/>
      <c r="L177" s="150">
        <f t="shared" si="0"/>
        <v>2401</v>
      </c>
      <c r="M177" s="151" t="str">
        <f t="shared" si="1"/>
        <v>DEPOTS FIDUCIE-VENTE CLIENTS</v>
      </c>
      <c r="N177" s="152">
        <f>+IF(OR($Q177=Parametres!$G$2,$Q177=Parametres!$G$3),I177,C177)</f>
        <v>-11300</v>
      </c>
      <c r="O177" s="152">
        <f>+IF(OR($Q177=Parametres!$G$2,$Q177=Parametres!$G$3),J177,D177)</f>
        <v>900</v>
      </c>
      <c r="P177" s="152">
        <f>+IF(OR($Q177=Parametres!$G$2,$Q177=Parametres!$G$3),K177,E177)</f>
        <v>-10400</v>
      </c>
      <c r="Q177" s="151" t="str">
        <f t="shared" si="12"/>
        <v>3-Passifs</v>
      </c>
      <c r="R177" s="150" t="str">
        <f t="shared" si="12"/>
        <v>2401</v>
      </c>
      <c r="S177" s="151">
        <f t="shared" si="12"/>
        <v>0</v>
      </c>
      <c r="T177" s="153">
        <f>+VLOOKUP($L177,Data_Validation!$A:$D,1,0)</f>
        <v>2401</v>
      </c>
      <c r="U177" s="153" t="str">
        <f>+VLOOKUP($L177,Data_Validation!$A:$D,3,0)</f>
        <v>Bilan</v>
      </c>
      <c r="V177" s="153" t="str">
        <f>+VLOOKUP($L177,Data_Validation!$A:$D,4,0)</f>
        <v>Dépôts de Client</v>
      </c>
      <c r="W177" s="153" t="str">
        <f>+VLOOKUP($L177,Data_Validation!$A:$E,5,0)</f>
        <v>$</v>
      </c>
      <c r="X177" s="153">
        <f>+VLOOKUP($L177,Data_Validation!$A:$F,6,0)</f>
        <v>0</v>
      </c>
    </row>
    <row r="178" spans="1:24" ht="15" customHeight="1">
      <c r="A178" s="1430" t="s">
        <v>2591</v>
      </c>
      <c r="B178" s="1433">
        <v>2501</v>
      </c>
      <c r="C178" s="1432">
        <v>-47912.74</v>
      </c>
      <c r="D178" s="1432">
        <v>9043.56</v>
      </c>
      <c r="E178" s="1432">
        <v>-38869.18</v>
      </c>
      <c r="F178" s="1430" t="s">
        <v>279</v>
      </c>
      <c r="G178" s="1430" t="s">
        <v>2592</v>
      </c>
      <c r="H178" s="1431"/>
      <c r="I178" s="1431"/>
      <c r="J178" s="1431"/>
      <c r="K178" s="1431"/>
      <c r="L178" s="150">
        <f t="shared" si="0"/>
        <v>2501</v>
      </c>
      <c r="M178" s="151" t="str">
        <f t="shared" si="1"/>
        <v>COMMISSION A PAYER</v>
      </c>
      <c r="N178" s="152">
        <f>+IF(OR($Q178=Parametres!$G$2,$Q178=Parametres!$G$3),I178,C178)</f>
        <v>-47912.74</v>
      </c>
      <c r="O178" s="152">
        <f>+IF(OR($Q178=Parametres!$G$2,$Q178=Parametres!$G$3),J178,D178)</f>
        <v>9043.56</v>
      </c>
      <c r="P178" s="152">
        <f>+IF(OR($Q178=Parametres!$G$2,$Q178=Parametres!$G$3),K178,E178)</f>
        <v>-38869.18</v>
      </c>
      <c r="Q178" s="151" t="str">
        <f t="shared" ref="Q178:S193" si="13">+F178</f>
        <v>3-Passifs</v>
      </c>
      <c r="R178" s="150" t="str">
        <f t="shared" si="13"/>
        <v>2501</v>
      </c>
      <c r="S178" s="151">
        <f t="shared" si="13"/>
        <v>0</v>
      </c>
      <c r="T178" s="153">
        <f>+VLOOKUP($L178,Data_Validation!$A:$D,1,0)</f>
        <v>2501</v>
      </c>
      <c r="U178" s="153" t="str">
        <f>+VLOOKUP($L178,Data_Validation!$A:$D,3,0)</f>
        <v>Bilan</v>
      </c>
      <c r="V178" s="153" t="str">
        <f>+VLOOKUP($L178,Data_Validation!$A:$D,4,0)</f>
        <v>Salaires à Payer</v>
      </c>
      <c r="W178" s="153" t="str">
        <f>+VLOOKUP($L178,Data_Validation!$A:$E,5,0)</f>
        <v>$</v>
      </c>
      <c r="X178" s="153">
        <f>+VLOOKUP($L178,Data_Validation!$A:$F,6,0)</f>
        <v>0</v>
      </c>
    </row>
    <row r="179" spans="1:24" ht="15" customHeight="1">
      <c r="A179" s="1430" t="s">
        <v>2902</v>
      </c>
      <c r="B179" s="1433">
        <v>2502</v>
      </c>
      <c r="C179" s="1432">
        <v>66.760000000000005</v>
      </c>
      <c r="D179" s="1432">
        <v>895.69</v>
      </c>
      <c r="E179" s="1432">
        <v>962.45</v>
      </c>
      <c r="F179" s="1430" t="s">
        <v>279</v>
      </c>
      <c r="G179" s="1430" t="s">
        <v>2903</v>
      </c>
      <c r="H179" s="1431"/>
      <c r="I179" s="1431"/>
      <c r="J179" s="1431"/>
      <c r="K179" s="1431"/>
      <c r="L179" s="150">
        <f t="shared" si="0"/>
        <v>2502</v>
      </c>
      <c r="M179" s="151" t="str">
        <f t="shared" si="1"/>
        <v>Compte de depense a payer</v>
      </c>
      <c r="N179" s="152">
        <f>+IF(OR($Q179=Parametres!$G$2,$Q179=Parametres!$G$3),I179,C179)</f>
        <v>66.760000000000005</v>
      </c>
      <c r="O179" s="152">
        <f>+IF(OR($Q179=Parametres!$G$2,$Q179=Parametres!$G$3),J179,D179)</f>
        <v>895.69</v>
      </c>
      <c r="P179" s="152">
        <f>+IF(OR($Q179=Parametres!$G$2,$Q179=Parametres!$G$3),K179,E179)</f>
        <v>962.45</v>
      </c>
      <c r="Q179" s="151" t="str">
        <f t="shared" si="13"/>
        <v>3-Passifs</v>
      </c>
      <c r="R179" s="150" t="str">
        <f t="shared" si="13"/>
        <v>250</v>
      </c>
      <c r="S179" s="151">
        <f t="shared" si="13"/>
        <v>0</v>
      </c>
      <c r="T179" s="153">
        <f>+VLOOKUP($L179,Data_Validation!$A:$D,1,0)</f>
        <v>2502</v>
      </c>
      <c r="U179" s="153" t="str">
        <f>+VLOOKUP($L179,Data_Validation!$A:$D,3,0)</f>
        <v>Bilan</v>
      </c>
      <c r="V179" s="153" t="str">
        <f>+VLOOKUP($L179,Data_Validation!$A:$D,4,0)</f>
        <v>Salaires à Payer</v>
      </c>
      <c r="W179" s="153" t="str">
        <f>+VLOOKUP($L179,Data_Validation!$A:$E,5,0)</f>
        <v>$</v>
      </c>
      <c r="X179" s="153">
        <f>+VLOOKUP($L179,Data_Validation!$A:$F,6,0)</f>
        <v>0</v>
      </c>
    </row>
    <row r="180" spans="1:24" ht="15" customHeight="1">
      <c r="A180" s="1430" t="s">
        <v>2051</v>
      </c>
      <c r="B180" s="1433">
        <v>2503</v>
      </c>
      <c r="C180" s="1432">
        <v>-281698.92</v>
      </c>
      <c r="D180" s="1432">
        <v>84231.98</v>
      </c>
      <c r="E180" s="1432">
        <v>-197466.94</v>
      </c>
      <c r="F180" s="1430" t="s">
        <v>279</v>
      </c>
      <c r="G180" s="1430" t="s">
        <v>2052</v>
      </c>
      <c r="H180" s="1431"/>
      <c r="I180" s="1431"/>
      <c r="J180" s="1431"/>
      <c r="K180" s="1431"/>
      <c r="L180" s="150">
        <f t="shared" si="0"/>
        <v>2503</v>
      </c>
      <c r="M180" s="151" t="str">
        <f t="shared" si="1"/>
        <v>SALAIRES DES EMPLOYES</v>
      </c>
      <c r="N180" s="152">
        <f>+IF(OR($Q180=Parametres!$G$2,$Q180=Parametres!$G$3),I180,C180)</f>
        <v>-281698.92</v>
      </c>
      <c r="O180" s="152">
        <f>+IF(OR($Q180=Parametres!$G$2,$Q180=Parametres!$G$3),J180,D180)</f>
        <v>84231.98</v>
      </c>
      <c r="P180" s="152">
        <f>+IF(OR($Q180=Parametres!$G$2,$Q180=Parametres!$G$3),K180,E180)</f>
        <v>-197466.94</v>
      </c>
      <c r="Q180" s="151" t="str">
        <f t="shared" si="13"/>
        <v>3-Passifs</v>
      </c>
      <c r="R180" s="150" t="str">
        <f t="shared" si="13"/>
        <v>2503</v>
      </c>
      <c r="S180" s="151">
        <f t="shared" si="13"/>
        <v>0</v>
      </c>
      <c r="T180" s="153">
        <f>+VLOOKUP($L180,Data_Validation!$A:$D,1,0)</f>
        <v>2503</v>
      </c>
      <c r="U180" s="153" t="str">
        <f>+VLOOKUP($L180,Data_Validation!$A:$D,3,0)</f>
        <v>Bilan</v>
      </c>
      <c r="V180" s="153" t="str">
        <f>+VLOOKUP($L180,Data_Validation!$A:$D,4,0)</f>
        <v>Salaires à Payer</v>
      </c>
      <c r="W180" s="153" t="str">
        <f>+VLOOKUP($L180,Data_Validation!$A:$E,5,0)</f>
        <v>$</v>
      </c>
      <c r="X180" s="153">
        <f>+VLOOKUP($L180,Data_Validation!$A:$F,6,0)</f>
        <v>0</v>
      </c>
    </row>
    <row r="181" spans="1:24" ht="15.75" customHeight="1">
      <c r="A181" s="1430" t="s">
        <v>2091</v>
      </c>
      <c r="B181" s="1433">
        <v>2505</v>
      </c>
      <c r="C181" s="1432">
        <v>-27469.14</v>
      </c>
      <c r="D181" s="1432">
        <v>-2712.22</v>
      </c>
      <c r="E181" s="1432">
        <v>-30181.360000000001</v>
      </c>
      <c r="F181" s="1430" t="s">
        <v>279</v>
      </c>
      <c r="G181" s="1430" t="s">
        <v>2052</v>
      </c>
      <c r="H181" s="1431"/>
      <c r="I181" s="1431"/>
      <c r="J181" s="1431"/>
      <c r="K181" s="1431"/>
      <c r="L181" s="150">
        <f t="shared" si="0"/>
        <v>2505</v>
      </c>
      <c r="M181" s="151" t="str">
        <f t="shared" si="1"/>
        <v>JOURS FERIES</v>
      </c>
      <c r="N181" s="152">
        <f>+IF(OR($Q181=Parametres!$G$2,$Q181=Parametres!$G$3),I181,C181)</f>
        <v>-27469.14</v>
      </c>
      <c r="O181" s="152">
        <f>+IF(OR($Q181=Parametres!$G$2,$Q181=Parametres!$G$3),J181,D181)</f>
        <v>-2712.22</v>
      </c>
      <c r="P181" s="152">
        <f>+IF(OR($Q181=Parametres!$G$2,$Q181=Parametres!$G$3),K181,E181)</f>
        <v>-30181.360000000001</v>
      </c>
      <c r="Q181" s="151" t="str">
        <f t="shared" si="13"/>
        <v>3-Passifs</v>
      </c>
      <c r="R181" s="150" t="str">
        <f t="shared" si="13"/>
        <v>2503</v>
      </c>
      <c r="S181" s="151">
        <f t="shared" si="13"/>
        <v>0</v>
      </c>
      <c r="T181" s="153">
        <f>+VLOOKUP($L181,Data_Validation!$A:$D,1,0)</f>
        <v>2505</v>
      </c>
      <c r="U181" s="153" t="str">
        <f>+VLOOKUP($L181,Data_Validation!$A:$D,3,0)</f>
        <v>Bilan</v>
      </c>
      <c r="V181" s="153" t="str">
        <f>+VLOOKUP($L181,Data_Validation!$A:$D,4,0)</f>
        <v>Salaires à Payer</v>
      </c>
      <c r="W181" s="153" t="str">
        <f>+VLOOKUP($L181,Data_Validation!$A:$E,5,0)</f>
        <v>$</v>
      </c>
      <c r="X181" s="153">
        <f>+VLOOKUP($L181,Data_Validation!$A:$F,6,0)</f>
        <v>0</v>
      </c>
    </row>
    <row r="182" spans="1:24" ht="15.75" customHeight="1">
      <c r="A182" s="1430" t="s">
        <v>2087</v>
      </c>
      <c r="B182" s="1433">
        <v>2509</v>
      </c>
      <c r="C182" s="1432">
        <v>-206579.64</v>
      </c>
      <c r="D182" s="1432">
        <v>-17126.25</v>
      </c>
      <c r="E182" s="1432">
        <v>-223705.89</v>
      </c>
      <c r="F182" s="1430" t="s">
        <v>279</v>
      </c>
      <c r="G182" s="1430" t="s">
        <v>2052</v>
      </c>
      <c r="H182" s="1431"/>
      <c r="I182" s="1431"/>
      <c r="J182" s="1431"/>
      <c r="K182" s="1431"/>
      <c r="L182" s="150">
        <f t="shared" si="0"/>
        <v>2509</v>
      </c>
      <c r="M182" s="151" t="str">
        <f t="shared" si="1"/>
        <v>SALAIRES DE VACANCES</v>
      </c>
      <c r="N182" s="152">
        <f>+IF(OR($Q182=Parametres!$G$2,$Q182=Parametres!$G$3),I182,C182)</f>
        <v>-206579.64</v>
      </c>
      <c r="O182" s="152">
        <f>+IF(OR($Q182=Parametres!$G$2,$Q182=Parametres!$G$3),J182,D182)</f>
        <v>-17126.25</v>
      </c>
      <c r="P182" s="152">
        <f>+IF(OR($Q182=Parametres!$G$2,$Q182=Parametres!$G$3),K182,E182)</f>
        <v>-223705.89</v>
      </c>
      <c r="Q182" s="151" t="str">
        <f t="shared" si="13"/>
        <v>3-Passifs</v>
      </c>
      <c r="R182" s="150" t="str">
        <f t="shared" si="13"/>
        <v>2503</v>
      </c>
      <c r="S182" s="151">
        <f t="shared" si="13"/>
        <v>0</v>
      </c>
      <c r="T182" s="153">
        <f>+VLOOKUP($L182,Data_Validation!$A:$D,1,0)</f>
        <v>2509</v>
      </c>
      <c r="U182" s="153" t="str">
        <f>+VLOOKUP($L182,Data_Validation!$A:$D,3,0)</f>
        <v>Bilan</v>
      </c>
      <c r="V182" s="153" t="str">
        <f>+VLOOKUP($L182,Data_Validation!$A:$D,4,0)</f>
        <v>Salaires à Payer</v>
      </c>
      <c r="W182" s="153" t="str">
        <f>+VLOOKUP($L182,Data_Validation!$A:$E,5,0)</f>
        <v>$</v>
      </c>
      <c r="X182" s="153">
        <f>+VLOOKUP($L182,Data_Validation!$A:$F,6,0)</f>
        <v>0</v>
      </c>
    </row>
    <row r="183" spans="1:24" ht="15.75" customHeight="1">
      <c r="A183" s="1430" t="s">
        <v>2181</v>
      </c>
      <c r="B183" s="1433">
        <v>2511</v>
      </c>
      <c r="C183" s="1432">
        <v>-2562.6799999999998</v>
      </c>
      <c r="D183" s="1432">
        <v>-149.27000000000001</v>
      </c>
      <c r="E183" s="1432">
        <v>-2711.95</v>
      </c>
      <c r="F183" s="1430" t="s">
        <v>279</v>
      </c>
      <c r="G183" s="1430" t="s">
        <v>2052</v>
      </c>
      <c r="H183" s="1431"/>
      <c r="I183" s="1431"/>
      <c r="J183" s="1431"/>
      <c r="K183" s="1431"/>
      <c r="L183" s="150">
        <f t="shared" si="0"/>
        <v>2511</v>
      </c>
      <c r="M183" s="151" t="str">
        <f t="shared" si="1"/>
        <v>JOURNEE MALADIE</v>
      </c>
      <c r="N183" s="152">
        <f>+IF(OR($Q183=Parametres!$G$2,$Q183=Parametres!$G$3),I183,C183)</f>
        <v>-2562.6799999999998</v>
      </c>
      <c r="O183" s="152">
        <f>+IF(OR($Q183=Parametres!$G$2,$Q183=Parametres!$G$3),J183,D183)</f>
        <v>-149.27000000000001</v>
      </c>
      <c r="P183" s="152">
        <f>+IF(OR($Q183=Parametres!$G$2,$Q183=Parametres!$G$3),K183,E183)</f>
        <v>-2711.95</v>
      </c>
      <c r="Q183" s="151" t="str">
        <f t="shared" si="13"/>
        <v>3-Passifs</v>
      </c>
      <c r="R183" s="150" t="str">
        <f t="shared" si="13"/>
        <v>2503</v>
      </c>
      <c r="S183" s="151">
        <f t="shared" si="13"/>
        <v>0</v>
      </c>
      <c r="T183" s="153">
        <f>+VLOOKUP($L183,Data_Validation!$A:$D,1,0)</f>
        <v>2511</v>
      </c>
      <c r="U183" s="153" t="str">
        <f>+VLOOKUP($L183,Data_Validation!$A:$D,3,0)</f>
        <v>Bilan</v>
      </c>
      <c r="V183" s="153" t="str">
        <f>+VLOOKUP($L183,Data_Validation!$A:$D,4,0)</f>
        <v>Salaires à Payer</v>
      </c>
      <c r="W183" s="153" t="str">
        <f>+VLOOKUP($L183,Data_Validation!$A:$E,5,0)</f>
        <v>$</v>
      </c>
      <c r="X183" s="153">
        <f>+VLOOKUP($L183,Data_Validation!$A:$F,6,0)</f>
        <v>0</v>
      </c>
    </row>
    <row r="184" spans="1:24" ht="15.75" customHeight="1">
      <c r="A184" s="1430" t="s">
        <v>2680</v>
      </c>
      <c r="B184" s="1433">
        <v>2801</v>
      </c>
      <c r="C184" s="1432">
        <v>-16301.25</v>
      </c>
      <c r="D184" s="1432">
        <v>1317.5</v>
      </c>
      <c r="E184" s="1432">
        <v>-14983.75</v>
      </c>
      <c r="F184" s="1430" t="s">
        <v>279</v>
      </c>
      <c r="G184" s="1430" t="s">
        <v>2681</v>
      </c>
      <c r="H184" s="1431"/>
      <c r="I184" s="1431"/>
      <c r="J184" s="1431"/>
      <c r="K184" s="1431"/>
      <c r="L184" s="150">
        <f t="shared" si="0"/>
        <v>2801</v>
      </c>
      <c r="M184" s="151" t="str">
        <f t="shared" si="1"/>
        <v>PRET CIBC</v>
      </c>
      <c r="N184" s="152">
        <f>+IF(OR($Q184=Parametres!$G$2,$Q184=Parametres!$G$3),I184,C184)</f>
        <v>-16301.25</v>
      </c>
      <c r="O184" s="152">
        <f>+IF(OR($Q184=Parametres!$G$2,$Q184=Parametres!$G$3),J184,D184)</f>
        <v>1317.5</v>
      </c>
      <c r="P184" s="152">
        <f>+IF(OR($Q184=Parametres!$G$2,$Q184=Parametres!$G$3),K184,E184)</f>
        <v>-14983.75</v>
      </c>
      <c r="Q184" s="151" t="str">
        <f t="shared" si="13"/>
        <v>3-Passifs</v>
      </c>
      <c r="R184" s="150" t="str">
        <f t="shared" si="13"/>
        <v>2801</v>
      </c>
      <c r="S184" s="151">
        <f t="shared" si="13"/>
        <v>0</v>
      </c>
      <c r="T184" s="153">
        <f>+VLOOKUP($L184,Data_Validation!$A:$D,1,0)</f>
        <v>2801</v>
      </c>
      <c r="U184" s="153" t="str">
        <f>+VLOOKUP($L184,Data_Validation!$A:$D,3,0)</f>
        <v>Bilan</v>
      </c>
      <c r="V184" s="153" t="str">
        <f>+VLOOKUP($L184,Data_Validation!$A:$D,4,0)</f>
        <v>Dette à Long Terme</v>
      </c>
      <c r="W184" s="153" t="str">
        <f>+VLOOKUP($L184,Data_Validation!$A:$E,5,0)</f>
        <v>$</v>
      </c>
      <c r="X184" s="153">
        <f>+VLOOKUP($L184,Data_Validation!$A:$F,6,0)</f>
        <v>0</v>
      </c>
    </row>
    <row r="185" spans="1:24" ht="15.75" customHeight="1">
      <c r="A185" s="1430" t="s">
        <v>824</v>
      </c>
      <c r="B185" s="1433">
        <v>2901</v>
      </c>
      <c r="C185" s="1432">
        <v>-19122.599999999999</v>
      </c>
      <c r="D185" s="1432">
        <v>0</v>
      </c>
      <c r="E185" s="1432">
        <v>-19122.599999999999</v>
      </c>
      <c r="F185" s="1430" t="s">
        <v>279</v>
      </c>
      <c r="G185" s="1430" t="s">
        <v>2183</v>
      </c>
      <c r="H185" s="1431"/>
      <c r="I185" s="1431"/>
      <c r="J185" s="1431"/>
      <c r="K185" s="1431"/>
      <c r="L185" s="150">
        <f t="shared" si="0"/>
        <v>2901</v>
      </c>
      <c r="M185" s="151" t="str">
        <f t="shared" si="1"/>
        <v>RESERVE CARTES PRIVILEGE</v>
      </c>
      <c r="N185" s="152">
        <f>+IF(OR($Q185=Parametres!$G$2,$Q185=Parametres!$G$3),I185,C185)</f>
        <v>-19122.599999999999</v>
      </c>
      <c r="O185" s="152">
        <f>+IF(OR($Q185=Parametres!$G$2,$Q185=Parametres!$G$3),J185,D185)</f>
        <v>0</v>
      </c>
      <c r="P185" s="152">
        <f>+IF(OR($Q185=Parametres!$G$2,$Q185=Parametres!$G$3),K185,E185)</f>
        <v>-19122.599999999999</v>
      </c>
      <c r="Q185" s="151" t="str">
        <f t="shared" si="13"/>
        <v>3-Passifs</v>
      </c>
      <c r="R185" s="150" t="str">
        <f t="shared" si="13"/>
        <v>2901</v>
      </c>
      <c r="S185" s="151">
        <f t="shared" si="13"/>
        <v>0</v>
      </c>
      <c r="T185" s="153">
        <f>+VLOOKUP($L185,Data_Validation!$A:$D,1,0)</f>
        <v>2901</v>
      </c>
      <c r="U185" s="153" t="str">
        <f>+VLOOKUP($L185,Data_Validation!$A:$D,3,0)</f>
        <v>Bilan</v>
      </c>
      <c r="V185" s="153" t="str">
        <f>+VLOOKUP($L185,Data_Validation!$A:$D,4,0)</f>
        <v>Autres Courus</v>
      </c>
      <c r="W185" s="153" t="str">
        <f>+VLOOKUP($L185,Data_Validation!$A:$E,5,0)</f>
        <v>$</v>
      </c>
      <c r="X185" s="153">
        <f>+VLOOKUP($L185,Data_Validation!$A:$F,6,0)</f>
        <v>0</v>
      </c>
    </row>
    <row r="186" spans="1:24" ht="15.75" customHeight="1">
      <c r="A186" s="1430" t="s">
        <v>2414</v>
      </c>
      <c r="B186" s="1433">
        <v>3001</v>
      </c>
      <c r="C186" s="1432">
        <v>-2350000</v>
      </c>
      <c r="D186" s="1432">
        <v>0</v>
      </c>
      <c r="E186" s="1432">
        <v>-2350000</v>
      </c>
      <c r="F186" s="1430" t="s">
        <v>828</v>
      </c>
      <c r="G186" s="1430" t="s">
        <v>2415</v>
      </c>
      <c r="H186" s="1431"/>
      <c r="I186" s="1431"/>
      <c r="J186" s="1431"/>
      <c r="K186" s="1431"/>
      <c r="L186" s="150">
        <f t="shared" si="0"/>
        <v>3001</v>
      </c>
      <c r="M186" s="151" t="str">
        <f t="shared" si="1"/>
        <v>ACTIONS CATEGORIE 1</v>
      </c>
      <c r="N186" s="152">
        <f>+IF(OR($Q186=Parametres!$G$2,$Q186=Parametres!$G$3),I186,C186)</f>
        <v>-2350000</v>
      </c>
      <c r="O186" s="152">
        <f>+IF(OR($Q186=Parametres!$G$2,$Q186=Parametres!$G$3),J186,D186)</f>
        <v>0</v>
      </c>
      <c r="P186" s="152">
        <f>+IF(OR($Q186=Parametres!$G$2,$Q186=Parametres!$G$3),K186,E186)</f>
        <v>-2350000</v>
      </c>
      <c r="Q186" s="151" t="str">
        <f t="shared" si="13"/>
        <v>4-Valeur nette</v>
      </c>
      <c r="R186" s="150" t="str">
        <f t="shared" si="13"/>
        <v>3001</v>
      </c>
      <c r="S186" s="151">
        <f t="shared" si="13"/>
        <v>0</v>
      </c>
      <c r="T186" s="153">
        <f>+VLOOKUP($L186,Data_Validation!$A:$D,1,0)</f>
        <v>3001</v>
      </c>
      <c r="U186" s="153" t="str">
        <f>+VLOOKUP($L186,Data_Validation!$A:$D,3,0)</f>
        <v>Bilan</v>
      </c>
      <c r="V186" s="153" t="str">
        <f>+VLOOKUP($L186,Data_Validation!$A:$D,4,0)</f>
        <v>Capital Actions</v>
      </c>
      <c r="W186" s="153" t="str">
        <f>+VLOOKUP($L186,Data_Validation!$A:$E,5,0)</f>
        <v>$</v>
      </c>
      <c r="X186" s="153">
        <f>+VLOOKUP($L186,Data_Validation!$A:$F,6,0)</f>
        <v>0</v>
      </c>
    </row>
    <row r="187" spans="1:24" ht="15" customHeight="1">
      <c r="A187" s="1430" t="s">
        <v>2416</v>
      </c>
      <c r="B187" s="1433">
        <v>3003</v>
      </c>
      <c r="C187" s="1432">
        <v>-1723617</v>
      </c>
      <c r="D187" s="1432">
        <v>0</v>
      </c>
      <c r="E187" s="1432">
        <v>-1723617</v>
      </c>
      <c r="F187" s="1430" t="s">
        <v>828</v>
      </c>
      <c r="G187" s="1430" t="s">
        <v>2415</v>
      </c>
      <c r="H187" s="1431"/>
      <c r="I187" s="1431"/>
      <c r="J187" s="1431"/>
      <c r="K187" s="1431"/>
      <c r="L187" s="150">
        <f t="shared" si="0"/>
        <v>3003</v>
      </c>
      <c r="M187" s="151" t="str">
        <f t="shared" si="1"/>
        <v>APPORT / RETRAIT</v>
      </c>
      <c r="N187" s="152">
        <f>+IF(OR($Q187=Parametres!$G$2,$Q187=Parametres!$G$3),I187,C187)</f>
        <v>-1723617</v>
      </c>
      <c r="O187" s="152">
        <f>+IF(OR($Q187=Parametres!$G$2,$Q187=Parametres!$G$3),J187,D187)</f>
        <v>0</v>
      </c>
      <c r="P187" s="152">
        <f>+IF(OR($Q187=Parametres!$G$2,$Q187=Parametres!$G$3),K187,E187)</f>
        <v>-1723617</v>
      </c>
      <c r="Q187" s="151" t="str">
        <f t="shared" si="13"/>
        <v>4-Valeur nette</v>
      </c>
      <c r="R187" s="150" t="str">
        <f t="shared" si="13"/>
        <v>3001</v>
      </c>
      <c r="S187" s="151">
        <f t="shared" si="13"/>
        <v>0</v>
      </c>
      <c r="T187" s="153">
        <f>+VLOOKUP($L187,Data_Validation!$A:$D,1,0)</f>
        <v>3003</v>
      </c>
      <c r="U187" s="153" t="str">
        <f>+VLOOKUP($L187,Data_Validation!$A:$D,3,0)</f>
        <v>Bilan</v>
      </c>
      <c r="V187" s="153" t="str">
        <f>+VLOOKUP($L187,Data_Validation!$A:$D,4,0)</f>
        <v>Apport</v>
      </c>
      <c r="W187" s="153" t="str">
        <f>+VLOOKUP($L187,Data_Validation!$A:$E,5,0)</f>
        <v>$</v>
      </c>
      <c r="X187" s="153">
        <f>+VLOOKUP($L187,Data_Validation!$A:$F,6,0)</f>
        <v>0</v>
      </c>
    </row>
    <row r="188" spans="1:24" ht="15" customHeight="1">
      <c r="A188" s="1430" t="s">
        <v>2418</v>
      </c>
      <c r="B188" s="1433">
        <v>3007</v>
      </c>
      <c r="C188" s="1432">
        <v>-347547.5</v>
      </c>
      <c r="D188" s="1432">
        <v>0</v>
      </c>
      <c r="E188" s="1432">
        <v>-347547.5</v>
      </c>
      <c r="F188" s="1430" t="s">
        <v>828</v>
      </c>
      <c r="G188" s="1430" t="s">
        <v>2415</v>
      </c>
      <c r="H188" s="1431"/>
      <c r="I188" s="1431"/>
      <c r="J188" s="1431"/>
      <c r="K188" s="1431"/>
      <c r="L188" s="150">
        <f t="shared" si="0"/>
        <v>3007</v>
      </c>
      <c r="M188" s="151" t="str">
        <f t="shared" si="1"/>
        <v>ACTIONS PARTICIPANTES</v>
      </c>
      <c r="N188" s="152">
        <f>+IF(OR($Q188=Parametres!$G$2,$Q188=Parametres!$G$3),I188,C188)</f>
        <v>-347547.5</v>
      </c>
      <c r="O188" s="152">
        <f>+IF(OR($Q188=Parametres!$G$2,$Q188=Parametres!$G$3),J188,D188)</f>
        <v>0</v>
      </c>
      <c r="P188" s="152">
        <f>+IF(OR($Q188=Parametres!$G$2,$Q188=Parametres!$G$3),K188,E188)</f>
        <v>-347547.5</v>
      </c>
      <c r="Q188" s="151" t="str">
        <f t="shared" si="13"/>
        <v>4-Valeur nette</v>
      </c>
      <c r="R188" s="150" t="str">
        <f t="shared" si="13"/>
        <v>3001</v>
      </c>
      <c r="S188" s="151">
        <f t="shared" si="13"/>
        <v>0</v>
      </c>
      <c r="T188" s="153">
        <f>+VLOOKUP($L188,Data_Validation!$A:$D,1,0)</f>
        <v>3007</v>
      </c>
      <c r="U188" s="153" t="str">
        <f>+VLOOKUP($L188,Data_Validation!$A:$D,3,0)</f>
        <v>Bilan</v>
      </c>
      <c r="V188" s="153" t="str">
        <f>+VLOOKUP($L188,Data_Validation!$A:$D,4,0)</f>
        <v>Capital Actions</v>
      </c>
      <c r="W188" s="153">
        <f>+VLOOKUP($L188,Data_Validation!$A:$E,5,0)</f>
        <v>0</v>
      </c>
      <c r="X188" s="153">
        <f>+VLOOKUP($L188,Data_Validation!$A:$F,6,0)</f>
        <v>0</v>
      </c>
    </row>
    <row r="189" spans="1:24" ht="15" customHeight="1">
      <c r="A189" s="1430" t="s">
        <v>2420</v>
      </c>
      <c r="B189" s="1433">
        <v>3201</v>
      </c>
      <c r="C189" s="1432">
        <v>-973229.33</v>
      </c>
      <c r="D189" s="1432">
        <v>0</v>
      </c>
      <c r="E189" s="1432">
        <v>-973229.33</v>
      </c>
      <c r="F189" s="1430" t="s">
        <v>828</v>
      </c>
      <c r="G189" s="1430" t="s">
        <v>2415</v>
      </c>
      <c r="H189" s="1431"/>
      <c r="I189" s="1431"/>
      <c r="J189" s="1431"/>
      <c r="K189" s="1431"/>
      <c r="L189" s="150">
        <f t="shared" si="0"/>
        <v>3201</v>
      </c>
      <c r="M189" s="151" t="str">
        <f t="shared" si="1"/>
        <v>BENEFICES NON-REPARTIS</v>
      </c>
      <c r="N189" s="152">
        <f>+IF(OR($Q189=Parametres!$G$2,$Q189=Parametres!$G$3),I189,C189)</f>
        <v>-973229.33</v>
      </c>
      <c r="O189" s="152">
        <f>+IF(OR($Q189=Parametres!$G$2,$Q189=Parametres!$G$3),J189,D189)</f>
        <v>0</v>
      </c>
      <c r="P189" s="152">
        <f>+IF(OR($Q189=Parametres!$G$2,$Q189=Parametres!$G$3),K189,E189)</f>
        <v>-973229.33</v>
      </c>
      <c r="Q189" s="151" t="str">
        <f t="shared" si="13"/>
        <v>4-Valeur nette</v>
      </c>
      <c r="R189" s="150" t="str">
        <f t="shared" si="13"/>
        <v>3001</v>
      </c>
      <c r="S189" s="151">
        <f t="shared" si="13"/>
        <v>0</v>
      </c>
      <c r="T189" s="153">
        <f>+VLOOKUP($L189,Data_Validation!$A:$D,1,0)</f>
        <v>3201</v>
      </c>
      <c r="U189" s="153" t="str">
        <f>+VLOOKUP($L189,Data_Validation!$A:$D,3,0)</f>
        <v>Bilan</v>
      </c>
      <c r="V189" s="153" t="str">
        <f>+VLOOKUP($L189,Data_Validation!$A:$D,4,0)</f>
        <v>Bénéfices non répartis</v>
      </c>
      <c r="W189" s="153" t="str">
        <f>+VLOOKUP($L189,Data_Validation!$A:$E,5,0)</f>
        <v>$</v>
      </c>
      <c r="X189" s="153">
        <f>+VLOOKUP($L189,Data_Validation!$A:$F,6,0)</f>
        <v>0</v>
      </c>
    </row>
    <row r="190" spans="1:24" ht="15" customHeight="1">
      <c r="A190" s="1430" t="s">
        <v>2018</v>
      </c>
      <c r="B190" s="1433">
        <v>4100</v>
      </c>
      <c r="C190" s="1432">
        <v>-1998073.75</v>
      </c>
      <c r="D190" s="1432">
        <v>-175082.16</v>
      </c>
      <c r="E190" s="1432">
        <v>-2173155.91</v>
      </c>
      <c r="F190" s="1430" t="s">
        <v>282</v>
      </c>
      <c r="G190" s="1430" t="s">
        <v>2019</v>
      </c>
      <c r="H190" s="1431"/>
      <c r="I190" s="1431"/>
      <c r="J190" s="1431"/>
      <c r="K190" s="1431"/>
      <c r="L190" s="150">
        <f t="shared" si="0"/>
        <v>4100</v>
      </c>
      <c r="M190" s="151" t="str">
        <f t="shared" si="1"/>
        <v>VTE - RACHAT BAIL VW</v>
      </c>
      <c r="N190" s="152">
        <f>+IF(OR($Q190=Parametres!$G$2,$Q190=Parametres!$G$3),I190,C190)</f>
        <v>-1998073.75</v>
      </c>
      <c r="O190" s="152">
        <f>+IF(OR($Q190=Parametres!$G$2,$Q190=Parametres!$G$3),J190,D190)</f>
        <v>-175082.16</v>
      </c>
      <c r="P190" s="152">
        <f>+IF(OR($Q190=Parametres!$G$2,$Q190=Parametres!$G$3),K190,E190)</f>
        <v>-2173155.91</v>
      </c>
      <c r="Q190" s="151" t="str">
        <f t="shared" si="13"/>
        <v>5-Ventes</v>
      </c>
      <c r="R190" s="150" t="str">
        <f t="shared" si="13"/>
        <v>4100</v>
      </c>
      <c r="S190" s="151">
        <f t="shared" si="13"/>
        <v>0</v>
      </c>
      <c r="T190" s="153">
        <f>+VLOOKUP($L190,Data_Validation!$A:$D,1,0)</f>
        <v>4100</v>
      </c>
      <c r="U190" s="153" t="str">
        <f>+VLOOKUP($L190,Data_Validation!$A:$D,3,0)</f>
        <v>Véhicules neufs</v>
      </c>
      <c r="V190" s="153" t="str">
        <f>+VLOOKUP($L190,Data_Validation!$A:$D,4,0)</f>
        <v>Rachat bail</v>
      </c>
      <c r="W190" s="153" t="str">
        <f>+VLOOKUP($L190,Data_Validation!$A:$E,5,0)</f>
        <v>$</v>
      </c>
      <c r="X190" s="153" t="str">
        <f>+VLOOKUP($L190,Data_Validation!$A:$F,6,0)</f>
        <v>Oui</v>
      </c>
    </row>
    <row r="191" spans="1:24" ht="15" customHeight="1">
      <c r="A191" s="1430" t="s">
        <v>2473</v>
      </c>
      <c r="B191" s="1430" t="s">
        <v>2474</v>
      </c>
      <c r="C191" s="1431"/>
      <c r="D191" s="1431"/>
      <c r="E191" s="1431"/>
      <c r="F191" s="1430" t="s">
        <v>4</v>
      </c>
      <c r="G191" s="1430" t="s">
        <v>2019</v>
      </c>
      <c r="H191" s="1431"/>
      <c r="I191" s="1432">
        <v>-104</v>
      </c>
      <c r="J191" s="1432">
        <v>-10</v>
      </c>
      <c r="K191" s="1432">
        <v>-114</v>
      </c>
      <c r="L191" s="150" t="str">
        <f t="shared" si="0"/>
        <v>4100@</v>
      </c>
      <c r="M191" s="151" t="str">
        <f t="shared" si="1"/>
        <v>RESERVE</v>
      </c>
      <c r="N191" s="152">
        <f>+IF(OR($Q191=Parametres!$G$2,$Q191=Parametres!$G$3),I191,C191)</f>
        <v>-104</v>
      </c>
      <c r="O191" s="152">
        <f>+IF(OR($Q191=Parametres!$G$2,$Q191=Parametres!$G$3),J191,D191)</f>
        <v>-10</v>
      </c>
      <c r="P191" s="152">
        <f>+IF(OR($Q191=Parametres!$G$2,$Q191=Parametres!$G$3),K191,E191)</f>
        <v>-114</v>
      </c>
      <c r="Q191" s="151" t="str">
        <f t="shared" si="13"/>
        <v>10-Compte compteur</v>
      </c>
      <c r="R191" s="150" t="str">
        <f t="shared" si="13"/>
        <v>4100</v>
      </c>
      <c r="S191" s="151">
        <f t="shared" si="13"/>
        <v>0</v>
      </c>
      <c r="T191" s="153" t="str">
        <f>+VLOOKUP($L191,Data_Validation!$A:$D,1,0)</f>
        <v>4100@</v>
      </c>
      <c r="U191" s="153" t="str">
        <f>+VLOOKUP($L191,Data_Validation!$A:$D,3,0)</f>
        <v>Véhicules neufs</v>
      </c>
      <c r="V191" s="153" t="str">
        <f>+VLOOKUP($L191,Data_Validation!$A:$D,4,0)</f>
        <v>Rachat bail</v>
      </c>
      <c r="W191" s="153" t="str">
        <f>+VLOOKUP($L191,Data_Validation!$A:$E,5,0)</f>
        <v>NB</v>
      </c>
      <c r="X191" s="153">
        <f>+VLOOKUP($L191,Data_Validation!$A:$F,6,0)</f>
        <v>0</v>
      </c>
    </row>
    <row r="192" spans="1:24" ht="15" customHeight="1">
      <c r="A192" s="1430" t="s">
        <v>2424</v>
      </c>
      <c r="B192" s="1433">
        <v>4105</v>
      </c>
      <c r="C192" s="1432">
        <v>-107154.26</v>
      </c>
      <c r="D192" s="1432">
        <v>0</v>
      </c>
      <c r="E192" s="1432">
        <v>-107154.26</v>
      </c>
      <c r="F192" s="1430" t="s">
        <v>282</v>
      </c>
      <c r="G192" s="1430" t="s">
        <v>2425</v>
      </c>
      <c r="H192" s="1431"/>
      <c r="I192" s="1431"/>
      <c r="J192" s="1431"/>
      <c r="K192" s="1431"/>
      <c r="L192" s="150">
        <f t="shared" si="0"/>
        <v>4105</v>
      </c>
      <c r="M192" s="151" t="str">
        <f t="shared" si="1"/>
        <v>VTES -VTE - ARTEON</v>
      </c>
      <c r="N192" s="152">
        <f>+IF(OR($Q192=Parametres!$G$2,$Q192=Parametres!$G$3),I192,C192)</f>
        <v>-107154.26</v>
      </c>
      <c r="O192" s="152">
        <f>+IF(OR($Q192=Parametres!$G$2,$Q192=Parametres!$G$3),J192,D192)</f>
        <v>0</v>
      </c>
      <c r="P192" s="152">
        <f>+IF(OR($Q192=Parametres!$G$2,$Q192=Parametres!$G$3),K192,E192)</f>
        <v>-107154.26</v>
      </c>
      <c r="Q192" s="151" t="str">
        <f t="shared" si="13"/>
        <v>5-Ventes</v>
      </c>
      <c r="R192" s="150" t="str">
        <f t="shared" si="13"/>
        <v>4105</v>
      </c>
      <c r="S192" s="151">
        <f t="shared" si="13"/>
        <v>0</v>
      </c>
      <c r="T192" s="153">
        <f>+VLOOKUP($L192,Data_Validation!$A:$D,1,0)</f>
        <v>4105</v>
      </c>
      <c r="U192" s="153" t="str">
        <f>+VLOOKUP($L192,Data_Validation!$A:$D,3,0)</f>
        <v>Véhicules neufs</v>
      </c>
      <c r="V192" s="153" t="str">
        <f>+VLOOKUP($L192,Data_Validation!$A:$D,4,0)</f>
        <v>Autos détail</v>
      </c>
      <c r="W192" s="153" t="str">
        <f>+VLOOKUP($L192,Data_Validation!$A:$E,5,0)</f>
        <v>$</v>
      </c>
      <c r="X192" s="153" t="str">
        <f>+VLOOKUP($L192,Data_Validation!$A:$F,6,0)</f>
        <v>Oui</v>
      </c>
    </row>
    <row r="193" spans="1:24" ht="15" customHeight="1">
      <c r="A193" s="1430" t="s">
        <v>2477</v>
      </c>
      <c r="B193" s="1430" t="s">
        <v>2478</v>
      </c>
      <c r="C193" s="1431"/>
      <c r="D193" s="1431"/>
      <c r="E193" s="1431"/>
      <c r="F193" s="1430" t="s">
        <v>4</v>
      </c>
      <c r="G193" s="1430" t="s">
        <v>2425</v>
      </c>
      <c r="H193" s="1431"/>
      <c r="I193" s="1432">
        <v>-2</v>
      </c>
      <c r="J193" s="1432">
        <v>0</v>
      </c>
      <c r="K193" s="1432">
        <v>-2</v>
      </c>
      <c r="L193" s="150" t="str">
        <f t="shared" si="0"/>
        <v>4105@</v>
      </c>
      <c r="M193" s="151" t="str">
        <f t="shared" si="1"/>
        <v>ROUTAN</v>
      </c>
      <c r="N193" s="152">
        <f>+IF(OR($Q193=Parametres!$G$2,$Q193=Parametres!$G$3),I193,C193)</f>
        <v>-2</v>
      </c>
      <c r="O193" s="152">
        <f>+IF(OR($Q193=Parametres!$G$2,$Q193=Parametres!$G$3),J193,D193)</f>
        <v>0</v>
      </c>
      <c r="P193" s="152">
        <f>+IF(OR($Q193=Parametres!$G$2,$Q193=Parametres!$G$3),K193,E193)</f>
        <v>-2</v>
      </c>
      <c r="Q193" s="151" t="str">
        <f t="shared" si="13"/>
        <v>10-Compte compteur</v>
      </c>
      <c r="R193" s="150" t="str">
        <f t="shared" si="13"/>
        <v>4105</v>
      </c>
      <c r="S193" s="151">
        <f t="shared" si="13"/>
        <v>0</v>
      </c>
      <c r="T193" s="153" t="str">
        <f>+VLOOKUP($L193,Data_Validation!$A:$D,1,0)</f>
        <v>4105@</v>
      </c>
      <c r="U193" s="153" t="str">
        <f>+VLOOKUP($L193,Data_Validation!$A:$D,3,0)</f>
        <v>Véhicules neufs</v>
      </c>
      <c r="V193" s="153" t="str">
        <f>+VLOOKUP($L193,Data_Validation!$A:$D,4,0)</f>
        <v>Autos détail</v>
      </c>
      <c r="W193" s="153" t="str">
        <f>+VLOOKUP($L193,Data_Validation!$A:$E,5,0)</f>
        <v>NB</v>
      </c>
      <c r="X193" s="153">
        <f>+VLOOKUP($L193,Data_Validation!$A:$F,6,0)</f>
        <v>0</v>
      </c>
    </row>
    <row r="194" spans="1:24" ht="15.75" customHeight="1">
      <c r="A194" s="1430" t="s">
        <v>2011</v>
      </c>
      <c r="B194" s="1433">
        <v>4107</v>
      </c>
      <c r="C194" s="1432">
        <v>-2599721.7400000002</v>
      </c>
      <c r="D194" s="1432">
        <v>-186271.39</v>
      </c>
      <c r="E194" s="1432">
        <v>-2785993.13</v>
      </c>
      <c r="F194" s="1430" t="s">
        <v>282</v>
      </c>
      <c r="G194" s="1430" t="s">
        <v>2012</v>
      </c>
      <c r="H194" s="1431"/>
      <c r="I194" s="1431"/>
      <c r="J194" s="1431"/>
      <c r="K194" s="1431"/>
      <c r="L194" s="150">
        <f t="shared" si="0"/>
        <v>4107</v>
      </c>
      <c r="M194" s="151" t="str">
        <f t="shared" si="1"/>
        <v>VTE - GOLF A6</v>
      </c>
      <c r="N194" s="152">
        <f>+IF(OR($Q194=Parametres!$G$2,$Q194=Parametres!$G$3),I194,C194)</f>
        <v>-2599721.7400000002</v>
      </c>
      <c r="O194" s="152">
        <f>+IF(OR($Q194=Parametres!$G$2,$Q194=Parametres!$G$3),J194,D194)</f>
        <v>-186271.39</v>
      </c>
      <c r="P194" s="152">
        <f>+IF(OR($Q194=Parametres!$G$2,$Q194=Parametres!$G$3),K194,E194)</f>
        <v>-2785993.13</v>
      </c>
      <c r="Q194" s="151" t="str">
        <f t="shared" ref="Q194:S209" si="14">+F194</f>
        <v>5-Ventes</v>
      </c>
      <c r="R194" s="150" t="str">
        <f t="shared" si="14"/>
        <v>4107</v>
      </c>
      <c r="S194" s="151">
        <f t="shared" si="14"/>
        <v>0</v>
      </c>
      <c r="T194" s="153">
        <f>+VLOOKUP($L194,Data_Validation!$A:$D,1,0)</f>
        <v>4107</v>
      </c>
      <c r="U194" s="153" t="str">
        <f>+VLOOKUP($L194,Data_Validation!$A:$D,3,0)</f>
        <v>Véhicules neufs</v>
      </c>
      <c r="V194" s="153" t="str">
        <f>+VLOOKUP($L194,Data_Validation!$A:$D,4,0)</f>
        <v>Autos détail</v>
      </c>
      <c r="W194" s="153" t="str">
        <f>+VLOOKUP($L194,Data_Validation!$A:$E,5,0)</f>
        <v>$</v>
      </c>
      <c r="X194" s="153" t="str">
        <f>+VLOOKUP($L194,Data_Validation!$A:$F,6,0)</f>
        <v>Oui</v>
      </c>
    </row>
    <row r="195" spans="1:24" ht="15" customHeight="1">
      <c r="A195" s="1430" t="s">
        <v>2479</v>
      </c>
      <c r="B195" s="1430" t="s">
        <v>2480</v>
      </c>
      <c r="C195" s="1431"/>
      <c r="D195" s="1431"/>
      <c r="E195" s="1431"/>
      <c r="F195" s="1430" t="s">
        <v>4</v>
      </c>
      <c r="G195" s="1430" t="s">
        <v>2012</v>
      </c>
      <c r="H195" s="1431"/>
      <c r="I195" s="1432">
        <v>-95</v>
      </c>
      <c r="J195" s="1432">
        <v>-7</v>
      </c>
      <c r="K195" s="1432">
        <v>-102</v>
      </c>
      <c r="L195" s="150" t="str">
        <f t="shared" si="0"/>
        <v>4107@</v>
      </c>
      <c r="M195" s="151" t="str">
        <f t="shared" si="1"/>
        <v>UNITES VENDUES GOLF</v>
      </c>
      <c r="N195" s="152">
        <f>+IF(OR($Q195=Parametres!$G$2,$Q195=Parametres!$G$3),I195,C195)</f>
        <v>-95</v>
      </c>
      <c r="O195" s="152">
        <f>+IF(OR($Q195=Parametres!$G$2,$Q195=Parametres!$G$3),J195,D195)</f>
        <v>-7</v>
      </c>
      <c r="P195" s="152">
        <f>+IF(OR($Q195=Parametres!$G$2,$Q195=Parametres!$G$3),K195,E195)</f>
        <v>-102</v>
      </c>
      <c r="Q195" s="151" t="str">
        <f t="shared" si="14"/>
        <v>10-Compte compteur</v>
      </c>
      <c r="R195" s="150" t="str">
        <f t="shared" si="14"/>
        <v>4107</v>
      </c>
      <c r="S195" s="151">
        <f t="shared" si="14"/>
        <v>0</v>
      </c>
      <c r="T195" s="153" t="str">
        <f>+VLOOKUP($L195,Data_Validation!$A:$D,1,0)</f>
        <v>4107@</v>
      </c>
      <c r="U195" s="153" t="str">
        <f>+VLOOKUP($L195,Data_Validation!$A:$D,3,0)</f>
        <v>Véhicules neufs</v>
      </c>
      <c r="V195" s="153" t="str">
        <f>+VLOOKUP($L195,Data_Validation!$A:$D,4,0)</f>
        <v>Autos détail</v>
      </c>
      <c r="W195" s="153" t="str">
        <f>+VLOOKUP($L195,Data_Validation!$A:$E,5,0)</f>
        <v>NB</v>
      </c>
      <c r="X195" s="153">
        <f>+VLOOKUP($L195,Data_Validation!$A:$F,6,0)</f>
        <v>0</v>
      </c>
    </row>
    <row r="196" spans="1:24" ht="15" customHeight="1">
      <c r="A196" s="1430" t="s">
        <v>2006</v>
      </c>
      <c r="B196" s="1433">
        <v>4111</v>
      </c>
      <c r="C196" s="1432">
        <v>-2292205.1800000002</v>
      </c>
      <c r="D196" s="1432">
        <v>-354265.1</v>
      </c>
      <c r="E196" s="1432">
        <v>-2646470.2799999998</v>
      </c>
      <c r="F196" s="1430" t="s">
        <v>282</v>
      </c>
      <c r="G196" s="1430" t="s">
        <v>2007</v>
      </c>
      <c r="H196" s="1431"/>
      <c r="I196" s="1431"/>
      <c r="J196" s="1431"/>
      <c r="K196" s="1431"/>
      <c r="L196" s="150">
        <f t="shared" si="0"/>
        <v>4111</v>
      </c>
      <c r="M196" s="151" t="str">
        <f t="shared" si="1"/>
        <v>VTE - JETTA</v>
      </c>
      <c r="N196" s="152">
        <f>+IF(OR($Q196=Parametres!$G$2,$Q196=Parametres!$G$3),I196,C196)</f>
        <v>-2292205.1800000002</v>
      </c>
      <c r="O196" s="152">
        <f>+IF(OR($Q196=Parametres!$G$2,$Q196=Parametres!$G$3),J196,D196)</f>
        <v>-354265.1</v>
      </c>
      <c r="P196" s="152">
        <f>+IF(OR($Q196=Parametres!$G$2,$Q196=Parametres!$G$3),K196,E196)</f>
        <v>-2646470.2799999998</v>
      </c>
      <c r="Q196" s="151" t="str">
        <f t="shared" si="14"/>
        <v>5-Ventes</v>
      </c>
      <c r="R196" s="150" t="str">
        <f t="shared" si="14"/>
        <v>4111</v>
      </c>
      <c r="S196" s="151">
        <f t="shared" si="14"/>
        <v>0</v>
      </c>
      <c r="T196" s="153">
        <f>+VLOOKUP($L196,Data_Validation!$A:$D,1,0)</f>
        <v>4111</v>
      </c>
      <c r="U196" s="153" t="str">
        <f>+VLOOKUP($L196,Data_Validation!$A:$D,3,0)</f>
        <v>Véhicules neufs</v>
      </c>
      <c r="V196" s="153" t="str">
        <f>+VLOOKUP($L196,Data_Validation!$A:$D,4,0)</f>
        <v>Autos détail</v>
      </c>
      <c r="W196" s="153" t="str">
        <f>+VLOOKUP($L196,Data_Validation!$A:$E,5,0)</f>
        <v>$</v>
      </c>
      <c r="X196" s="153" t="str">
        <f>+VLOOKUP($L196,Data_Validation!$A:$F,6,0)</f>
        <v>Oui</v>
      </c>
    </row>
    <row r="197" spans="1:24" ht="15" customHeight="1">
      <c r="A197" s="1430" t="s">
        <v>2483</v>
      </c>
      <c r="B197" s="1430" t="s">
        <v>2484</v>
      </c>
      <c r="C197" s="1431"/>
      <c r="D197" s="1431"/>
      <c r="E197" s="1431"/>
      <c r="F197" s="1430" t="s">
        <v>4</v>
      </c>
      <c r="G197" s="1430" t="s">
        <v>2007</v>
      </c>
      <c r="H197" s="1431"/>
      <c r="I197" s="1432">
        <v>-80</v>
      </c>
      <c r="J197" s="1432">
        <v>-13</v>
      </c>
      <c r="K197" s="1432">
        <v>-93</v>
      </c>
      <c r="L197" s="150" t="str">
        <f t="shared" si="0"/>
        <v>4111@</v>
      </c>
      <c r="M197" s="151" t="str">
        <f t="shared" si="1"/>
        <v>UNITES VENDUES - JETTA</v>
      </c>
      <c r="N197" s="152">
        <f>+IF(OR($Q197=Parametres!$G$2,$Q197=Parametres!$G$3),I197,C197)</f>
        <v>-80</v>
      </c>
      <c r="O197" s="152">
        <f>+IF(OR($Q197=Parametres!$G$2,$Q197=Parametres!$G$3),J197,D197)</f>
        <v>-13</v>
      </c>
      <c r="P197" s="152">
        <f>+IF(OR($Q197=Parametres!$G$2,$Q197=Parametres!$G$3),K197,E197)</f>
        <v>-93</v>
      </c>
      <c r="Q197" s="151" t="str">
        <f t="shared" si="14"/>
        <v>10-Compte compteur</v>
      </c>
      <c r="R197" s="150" t="str">
        <f t="shared" si="14"/>
        <v>4111</v>
      </c>
      <c r="S197" s="151">
        <f t="shared" si="14"/>
        <v>0</v>
      </c>
      <c r="T197" s="153" t="str">
        <f>+VLOOKUP($L197,Data_Validation!$A:$D,1,0)</f>
        <v>4111@</v>
      </c>
      <c r="U197" s="153" t="str">
        <f>+VLOOKUP($L197,Data_Validation!$A:$D,3,0)</f>
        <v>Véhicules neufs</v>
      </c>
      <c r="V197" s="153" t="str">
        <f>+VLOOKUP($L197,Data_Validation!$A:$D,4,0)</f>
        <v>Autos détail</v>
      </c>
      <c r="W197" s="153" t="str">
        <f>+VLOOKUP($L197,Data_Validation!$A:$E,5,0)</f>
        <v>NB</v>
      </c>
      <c r="X197" s="153">
        <f>+VLOOKUP($L197,Data_Validation!$A:$F,6,0)</f>
        <v>0</v>
      </c>
    </row>
    <row r="198" spans="1:24" ht="15" customHeight="1">
      <c r="A198" s="1430" t="s">
        <v>2893</v>
      </c>
      <c r="B198" s="1433">
        <v>4118</v>
      </c>
      <c r="C198" s="1432">
        <v>-193383.95</v>
      </c>
      <c r="D198" s="1432">
        <v>-373843.43</v>
      </c>
      <c r="E198" s="1432">
        <v>-567227.38</v>
      </c>
      <c r="F198" s="1430" t="s">
        <v>282</v>
      </c>
      <c r="G198" s="1430" t="s">
        <v>2894</v>
      </c>
      <c r="H198" s="1431"/>
      <c r="I198" s="1431"/>
      <c r="J198" s="1431"/>
      <c r="K198" s="1431"/>
      <c r="L198" s="150">
        <f t="shared" si="0"/>
        <v>4118</v>
      </c>
      <c r="M198" s="151" t="str">
        <f t="shared" si="1"/>
        <v>VTES -TAOS</v>
      </c>
      <c r="N198" s="152">
        <f>+IF(OR($Q198=Parametres!$G$2,$Q198=Parametres!$G$3),I198,C198)</f>
        <v>-193383.95</v>
      </c>
      <c r="O198" s="152">
        <f>+IF(OR($Q198=Parametres!$G$2,$Q198=Parametres!$G$3),J198,D198)</f>
        <v>-373843.43</v>
      </c>
      <c r="P198" s="152">
        <f>+IF(OR($Q198=Parametres!$G$2,$Q198=Parametres!$G$3),K198,E198)</f>
        <v>-567227.38</v>
      </c>
      <c r="Q198" s="151" t="str">
        <f t="shared" si="14"/>
        <v>5-Ventes</v>
      </c>
      <c r="R198" s="150" t="str">
        <f t="shared" si="14"/>
        <v>4117</v>
      </c>
      <c r="S198" s="151">
        <f t="shared" si="14"/>
        <v>0</v>
      </c>
      <c r="T198" s="153">
        <f>+VLOOKUP($L198,Data_Validation!$A:$D,1,0)</f>
        <v>4118</v>
      </c>
      <c r="U198" s="153" t="str">
        <f>+VLOOKUP($L198,Data_Validation!$A:$D,3,0)</f>
        <v>Véhicules neufs</v>
      </c>
      <c r="V198" s="153" t="str">
        <f>+VLOOKUP($L198,Data_Validation!$A:$D,4,0)</f>
        <v>Camions détail</v>
      </c>
      <c r="W198" s="153" t="str">
        <f>+VLOOKUP($L198,Data_Validation!$A:$E,5,0)</f>
        <v>$</v>
      </c>
      <c r="X198" s="153" t="str">
        <f>+VLOOKUP($L198,Data_Validation!$A:$F,6,0)</f>
        <v>Oui</v>
      </c>
    </row>
    <row r="199" spans="1:24" ht="15.75" customHeight="1">
      <c r="A199" s="1430" t="s">
        <v>2895</v>
      </c>
      <c r="B199" s="1430" t="s">
        <v>2896</v>
      </c>
      <c r="C199" s="1431"/>
      <c r="D199" s="1431"/>
      <c r="E199" s="1431"/>
      <c r="F199" s="1430" t="s">
        <v>4</v>
      </c>
      <c r="G199" s="1430" t="s">
        <v>339</v>
      </c>
      <c r="H199" s="1431"/>
      <c r="I199" s="1432">
        <v>-6</v>
      </c>
      <c r="J199" s="1432">
        <v>-11</v>
      </c>
      <c r="K199" s="1432">
        <v>-17</v>
      </c>
      <c r="L199" s="150" t="str">
        <f t="shared" si="0"/>
        <v>4118@</v>
      </c>
      <c r="M199" s="151" t="str">
        <f t="shared" si="1"/>
        <v>TAOS</v>
      </c>
      <c r="N199" s="152">
        <f>+IF(OR($Q199=Parametres!$G$2,$Q199=Parametres!$G$3),I199,C199)</f>
        <v>-6</v>
      </c>
      <c r="O199" s="152">
        <f>+IF(OR($Q199=Parametres!$G$2,$Q199=Parametres!$G$3),J199,D199)</f>
        <v>-11</v>
      </c>
      <c r="P199" s="152">
        <f>+IF(OR($Q199=Parametres!$G$2,$Q199=Parametres!$G$3),K199,E199)</f>
        <v>-17</v>
      </c>
      <c r="Q199" s="151" t="str">
        <f t="shared" si="14"/>
        <v>10-Compte compteur</v>
      </c>
      <c r="R199" s="150" t="str">
        <f t="shared" si="14"/>
        <v>411</v>
      </c>
      <c r="S199" s="151">
        <f t="shared" si="14"/>
        <v>0</v>
      </c>
      <c r="T199" s="153" t="str">
        <f>+VLOOKUP($L199,Data_Validation!$A:$D,1,0)</f>
        <v>4118@</v>
      </c>
      <c r="U199" s="153" t="str">
        <f>+VLOOKUP($L199,Data_Validation!$A:$D,3,0)</f>
        <v>Véhicules neufs</v>
      </c>
      <c r="V199" s="153" t="str">
        <f>+VLOOKUP($L199,Data_Validation!$A:$D,4,0)</f>
        <v>Camions détail</v>
      </c>
      <c r="W199" s="153" t="str">
        <f>+VLOOKUP($L199,Data_Validation!$A:$E,5,0)</f>
        <v>NB</v>
      </c>
      <c r="X199" s="153">
        <f>+VLOOKUP($L199,Data_Validation!$A:$F,6,0)</f>
        <v>0</v>
      </c>
    </row>
    <row r="200" spans="1:24" ht="15" customHeight="1">
      <c r="A200" s="1430" t="s">
        <v>1995</v>
      </c>
      <c r="B200" s="1433">
        <v>4119</v>
      </c>
      <c r="C200" s="1432">
        <v>-4890449.84</v>
      </c>
      <c r="D200" s="1432">
        <v>-223807.83</v>
      </c>
      <c r="E200" s="1432">
        <v>-5114257.67</v>
      </c>
      <c r="F200" s="1430" t="s">
        <v>282</v>
      </c>
      <c r="G200" s="1430" t="s">
        <v>1996</v>
      </c>
      <c r="H200" s="1431"/>
      <c r="I200" s="1431"/>
      <c r="J200" s="1431"/>
      <c r="K200" s="1431"/>
      <c r="L200" s="150">
        <f t="shared" si="0"/>
        <v>4119</v>
      </c>
      <c r="M200" s="151" t="str">
        <f t="shared" si="1"/>
        <v>VTE - ATLAS</v>
      </c>
      <c r="N200" s="152">
        <f>+IF(OR($Q200=Parametres!$G$2,$Q200=Parametres!$G$3),I200,C200)</f>
        <v>-4890449.84</v>
      </c>
      <c r="O200" s="152">
        <f>+IF(OR($Q200=Parametres!$G$2,$Q200=Parametres!$G$3),J200,D200)</f>
        <v>-223807.83</v>
      </c>
      <c r="P200" s="152">
        <f>+IF(OR($Q200=Parametres!$G$2,$Q200=Parametres!$G$3),K200,E200)</f>
        <v>-5114257.67</v>
      </c>
      <c r="Q200" s="151" t="str">
        <f t="shared" si="14"/>
        <v>5-Ventes</v>
      </c>
      <c r="R200" s="150" t="str">
        <f t="shared" si="14"/>
        <v>4119</v>
      </c>
      <c r="S200" s="151">
        <f t="shared" si="14"/>
        <v>0</v>
      </c>
      <c r="T200" s="153">
        <f>+VLOOKUP($L200,Data_Validation!$A:$D,1,0)</f>
        <v>4119</v>
      </c>
      <c r="U200" s="153" t="str">
        <f>+VLOOKUP($L200,Data_Validation!$A:$D,3,0)</f>
        <v>Véhicules neufs</v>
      </c>
      <c r="V200" s="153" t="str">
        <f>+VLOOKUP($L200,Data_Validation!$A:$D,4,0)</f>
        <v>Camions détail</v>
      </c>
      <c r="W200" s="153" t="str">
        <f>+VLOOKUP($L200,Data_Validation!$A:$E,5,0)</f>
        <v>$</v>
      </c>
      <c r="X200" s="153" t="str">
        <f>+VLOOKUP($L200,Data_Validation!$A:$F,6,0)</f>
        <v>Oui</v>
      </c>
    </row>
    <row r="201" spans="1:24" ht="15" customHeight="1">
      <c r="A201" s="1430" t="s">
        <v>2489</v>
      </c>
      <c r="B201" s="1430" t="s">
        <v>2490</v>
      </c>
      <c r="C201" s="1431"/>
      <c r="D201" s="1431"/>
      <c r="E201" s="1431"/>
      <c r="F201" s="1430" t="s">
        <v>4</v>
      </c>
      <c r="G201" s="1430" t="s">
        <v>1996</v>
      </c>
      <c r="H201" s="1431"/>
      <c r="I201" s="1432">
        <v>-93</v>
      </c>
      <c r="J201" s="1432">
        <v>-4</v>
      </c>
      <c r="K201" s="1432">
        <v>-97</v>
      </c>
      <c r="L201" s="150" t="str">
        <f t="shared" si="0"/>
        <v>4119@</v>
      </c>
      <c r="M201" s="151" t="str">
        <f t="shared" si="1"/>
        <v># DE VTE - ATLAS</v>
      </c>
      <c r="N201" s="152">
        <f>+IF(OR($Q201=Parametres!$G$2,$Q201=Parametres!$G$3),I201,C201)</f>
        <v>-93</v>
      </c>
      <c r="O201" s="152">
        <f>+IF(OR($Q201=Parametres!$G$2,$Q201=Parametres!$G$3),J201,D201)</f>
        <v>-4</v>
      </c>
      <c r="P201" s="152">
        <f>+IF(OR($Q201=Parametres!$G$2,$Q201=Parametres!$G$3),K201,E201)</f>
        <v>-97</v>
      </c>
      <c r="Q201" s="151" t="str">
        <f t="shared" si="14"/>
        <v>10-Compte compteur</v>
      </c>
      <c r="R201" s="150" t="str">
        <f t="shared" si="14"/>
        <v>4119</v>
      </c>
      <c r="S201" s="151">
        <f t="shared" si="14"/>
        <v>0</v>
      </c>
      <c r="T201" s="153" t="str">
        <f>+VLOOKUP($L201,Data_Validation!$A:$D,1,0)</f>
        <v>4119@</v>
      </c>
      <c r="U201" s="153" t="str">
        <f>+VLOOKUP($L201,Data_Validation!$A:$D,3,0)</f>
        <v>Véhicules neufs</v>
      </c>
      <c r="V201" s="153" t="str">
        <f>+VLOOKUP($L201,Data_Validation!$A:$D,4,0)</f>
        <v>Camions détail</v>
      </c>
      <c r="W201" s="153" t="str">
        <f>+VLOOKUP($L201,Data_Validation!$A:$E,5,0)</f>
        <v>NB</v>
      </c>
      <c r="X201" s="153">
        <f>+VLOOKUP($L201,Data_Validation!$A:$F,6,0)</f>
        <v>0</v>
      </c>
    </row>
    <row r="202" spans="1:24" ht="15" customHeight="1">
      <c r="A202" s="1430" t="s">
        <v>2882</v>
      </c>
      <c r="B202" s="1433">
        <v>4121</v>
      </c>
      <c r="C202" s="1432">
        <v>-455684.84</v>
      </c>
      <c r="D202" s="1432">
        <v>0</v>
      </c>
      <c r="E202" s="1432">
        <v>-455684.84</v>
      </c>
      <c r="F202" s="1430" t="s">
        <v>282</v>
      </c>
      <c r="G202" s="1430" t="s">
        <v>3252</v>
      </c>
      <c r="H202" s="1431"/>
      <c r="I202" s="1431"/>
      <c r="J202" s="1431"/>
      <c r="K202" s="1431"/>
      <c r="L202" s="150">
        <f t="shared" si="0"/>
        <v>4121</v>
      </c>
      <c r="M202" s="151" t="str">
        <f t="shared" si="1"/>
        <v>VTES -VTE - ATLAS CROSS SPORT</v>
      </c>
      <c r="N202" s="152">
        <f>+IF(OR($Q202=Parametres!$G$2,$Q202=Parametres!$G$3),I202,C202)</f>
        <v>-455684.84</v>
      </c>
      <c r="O202" s="152">
        <f>+IF(OR($Q202=Parametres!$G$2,$Q202=Parametres!$G$3),J202,D202)</f>
        <v>0</v>
      </c>
      <c r="P202" s="152">
        <f>+IF(OR($Q202=Parametres!$G$2,$Q202=Parametres!$G$3),K202,E202)</f>
        <v>-455684.84</v>
      </c>
      <c r="Q202" s="151" t="str">
        <f t="shared" si="14"/>
        <v>5-Ventes</v>
      </c>
      <c r="R202" s="150" t="str">
        <f t="shared" si="14"/>
        <v>4121</v>
      </c>
      <c r="S202" s="151">
        <f t="shared" si="14"/>
        <v>0</v>
      </c>
      <c r="T202" s="153">
        <f>+VLOOKUP($L202,Data_Validation!$A:$D,1,0)</f>
        <v>4121</v>
      </c>
      <c r="U202" s="153" t="str">
        <f>+VLOOKUP($L202,Data_Validation!$A:$D,3,0)</f>
        <v>Véhicules neufs</v>
      </c>
      <c r="V202" s="153" t="str">
        <f>+VLOOKUP($L202,Data_Validation!$A:$D,4,0)</f>
        <v>Camions détail</v>
      </c>
      <c r="W202" s="153" t="str">
        <f>+VLOOKUP($L202,Data_Validation!$A:$E,5,0)</f>
        <v>$</v>
      </c>
      <c r="X202" s="153" t="str">
        <f>+VLOOKUP($L202,Data_Validation!$A:$F,6,0)</f>
        <v>oui</v>
      </c>
    </row>
    <row r="203" spans="1:24" ht="15" customHeight="1">
      <c r="A203" s="1430" t="s">
        <v>2883</v>
      </c>
      <c r="B203" s="1430" t="s">
        <v>2884</v>
      </c>
      <c r="C203" s="1431"/>
      <c r="D203" s="1431"/>
      <c r="E203" s="1431"/>
      <c r="F203" s="1430" t="s">
        <v>4</v>
      </c>
      <c r="G203" s="1430" t="s">
        <v>3252</v>
      </c>
      <c r="H203" s="1431"/>
      <c r="I203" s="1432">
        <v>-10</v>
      </c>
      <c r="J203" s="1432">
        <v>0</v>
      </c>
      <c r="K203" s="1432">
        <v>-10</v>
      </c>
      <c r="L203" s="150" t="str">
        <f t="shared" si="0"/>
        <v>4121@</v>
      </c>
      <c r="M203" s="151" t="str">
        <f t="shared" si="1"/>
        <v># DE VTE - ATLAS CROSS SPORT</v>
      </c>
      <c r="N203" s="152">
        <f>+IF(OR($Q203=Parametres!$G$2,$Q203=Parametres!$G$3),I203,C203)</f>
        <v>-10</v>
      </c>
      <c r="O203" s="152">
        <f>+IF(OR($Q203=Parametres!$G$2,$Q203=Parametres!$G$3),J203,D203)</f>
        <v>0</v>
      </c>
      <c r="P203" s="152">
        <f>+IF(OR($Q203=Parametres!$G$2,$Q203=Parametres!$G$3),K203,E203)</f>
        <v>-10</v>
      </c>
      <c r="Q203" s="151" t="str">
        <f t="shared" si="14"/>
        <v>10-Compte compteur</v>
      </c>
      <c r="R203" s="150" t="str">
        <f t="shared" si="14"/>
        <v>4121</v>
      </c>
      <c r="S203" s="151">
        <f t="shared" si="14"/>
        <v>0</v>
      </c>
      <c r="T203" s="153" t="str">
        <f>+VLOOKUP($L203,Data_Validation!$A:$D,1,0)</f>
        <v>4121@</v>
      </c>
      <c r="U203" s="153" t="str">
        <f>+VLOOKUP($L203,Data_Validation!$A:$D,3,0)</f>
        <v>Véhicules neufs</v>
      </c>
      <c r="V203" s="153" t="str">
        <f>+VLOOKUP($L203,Data_Validation!$A:$D,4,0)</f>
        <v>Camions détail</v>
      </c>
      <c r="W203" s="153" t="str">
        <f>+VLOOKUP($L203,Data_Validation!$A:$E,5,0)</f>
        <v>NB</v>
      </c>
      <c r="X203" s="153">
        <f>+VLOOKUP($L203,Data_Validation!$A:$F,6,0)</f>
        <v>0</v>
      </c>
    </row>
    <row r="204" spans="1:24" ht="15" customHeight="1">
      <c r="A204" s="1430" t="s">
        <v>2023</v>
      </c>
      <c r="B204" s="1433">
        <v>4127</v>
      </c>
      <c r="C204" s="1432">
        <v>-850171.33</v>
      </c>
      <c r="D204" s="1432">
        <v>0</v>
      </c>
      <c r="E204" s="1432">
        <v>-850171.33</v>
      </c>
      <c r="F204" s="1430" t="s">
        <v>282</v>
      </c>
      <c r="G204" s="1430" t="s">
        <v>2024</v>
      </c>
      <c r="H204" s="1431"/>
      <c r="I204" s="1431"/>
      <c r="J204" s="1431"/>
      <c r="K204" s="1431"/>
      <c r="L204" s="150">
        <f t="shared" si="0"/>
        <v>4127</v>
      </c>
      <c r="M204" s="151" t="str">
        <f t="shared" si="1"/>
        <v>VTE - GOLF GTI</v>
      </c>
      <c r="N204" s="152">
        <f>+IF(OR($Q204=Parametres!$G$2,$Q204=Parametres!$G$3),I204,C204)</f>
        <v>-850171.33</v>
      </c>
      <c r="O204" s="152">
        <f>+IF(OR($Q204=Parametres!$G$2,$Q204=Parametres!$G$3),J204,D204)</f>
        <v>0</v>
      </c>
      <c r="P204" s="152">
        <f>+IF(OR($Q204=Parametres!$G$2,$Q204=Parametres!$G$3),K204,E204)</f>
        <v>-850171.33</v>
      </c>
      <c r="Q204" s="151" t="str">
        <f t="shared" si="14"/>
        <v>5-Ventes</v>
      </c>
      <c r="R204" s="150" t="str">
        <f t="shared" si="14"/>
        <v>4127</v>
      </c>
      <c r="S204" s="151">
        <f t="shared" si="14"/>
        <v>0</v>
      </c>
      <c r="T204" s="153">
        <f>+VLOOKUP($L204,Data_Validation!$A:$D,1,0)</f>
        <v>4127</v>
      </c>
      <c r="U204" s="153" t="str">
        <f>+VLOOKUP($L204,Data_Validation!$A:$D,3,0)</f>
        <v>Véhicules neufs</v>
      </c>
      <c r="V204" s="153" t="str">
        <f>+VLOOKUP($L204,Data_Validation!$A:$D,4,0)</f>
        <v>Autos détail</v>
      </c>
      <c r="W204" s="153" t="str">
        <f>+VLOOKUP($L204,Data_Validation!$A:$E,5,0)</f>
        <v>$</v>
      </c>
      <c r="X204" s="153" t="str">
        <f>+VLOOKUP($L204,Data_Validation!$A:$F,6,0)</f>
        <v>Oui</v>
      </c>
    </row>
    <row r="205" spans="1:24" ht="15" customHeight="1">
      <c r="A205" s="1430" t="s">
        <v>2491</v>
      </c>
      <c r="B205" s="1430" t="s">
        <v>2492</v>
      </c>
      <c r="C205" s="1431"/>
      <c r="D205" s="1431"/>
      <c r="E205" s="1431"/>
      <c r="F205" s="1430" t="s">
        <v>4</v>
      </c>
      <c r="G205" s="1430" t="s">
        <v>2024</v>
      </c>
      <c r="H205" s="1431"/>
      <c r="I205" s="1432">
        <v>-22</v>
      </c>
      <c r="J205" s="1432">
        <v>0</v>
      </c>
      <c r="K205" s="1432">
        <v>-22</v>
      </c>
      <c r="L205" s="150" t="str">
        <f t="shared" si="0"/>
        <v>4127@</v>
      </c>
      <c r="M205" s="151" t="str">
        <f t="shared" si="1"/>
        <v># DE VENTE - GOLF GTI</v>
      </c>
      <c r="N205" s="152">
        <f>+IF(OR($Q205=Parametres!$G$2,$Q205=Parametres!$G$3),I205,C205)</f>
        <v>-22</v>
      </c>
      <c r="O205" s="152">
        <f>+IF(OR($Q205=Parametres!$G$2,$Q205=Parametres!$G$3),J205,D205)</f>
        <v>0</v>
      </c>
      <c r="P205" s="152">
        <f>+IF(OR($Q205=Parametres!$G$2,$Q205=Parametres!$G$3),K205,E205)</f>
        <v>-22</v>
      </c>
      <c r="Q205" s="151" t="str">
        <f t="shared" si="14"/>
        <v>10-Compte compteur</v>
      </c>
      <c r="R205" s="150" t="str">
        <f t="shared" si="14"/>
        <v>4127</v>
      </c>
      <c r="S205" s="151">
        <f t="shared" si="14"/>
        <v>0</v>
      </c>
      <c r="T205" s="153" t="str">
        <f>+VLOOKUP($L205,Data_Validation!$A:$D,1,0)</f>
        <v>4127@</v>
      </c>
      <c r="U205" s="153" t="str">
        <f>+VLOOKUP($L205,Data_Validation!$A:$D,3,0)</f>
        <v>Véhicules neufs</v>
      </c>
      <c r="V205" s="153" t="str">
        <f>+VLOOKUP($L205,Data_Validation!$A:$D,4,0)</f>
        <v>Autos détail</v>
      </c>
      <c r="W205" s="153" t="str">
        <f>+VLOOKUP($L205,Data_Validation!$A:$E,5,0)</f>
        <v>NB</v>
      </c>
      <c r="X205" s="153">
        <f>+VLOOKUP($L205,Data_Validation!$A:$F,6,0)</f>
        <v>0</v>
      </c>
    </row>
    <row r="206" spans="1:24" ht="15.75" customHeight="1">
      <c r="A206" s="1430" t="s">
        <v>1991</v>
      </c>
      <c r="B206" s="1433">
        <v>4131</v>
      </c>
      <c r="C206" s="1432">
        <v>-8514800.25</v>
      </c>
      <c r="D206" s="1432">
        <v>-1278998.56</v>
      </c>
      <c r="E206" s="1432">
        <v>-9793798.8100000005</v>
      </c>
      <c r="F206" s="1430" t="s">
        <v>282</v>
      </c>
      <c r="G206" s="1430" t="s">
        <v>1992</v>
      </c>
      <c r="H206" s="1431"/>
      <c r="I206" s="1431"/>
      <c r="J206" s="1431"/>
      <c r="K206" s="1431"/>
      <c r="L206" s="150">
        <f t="shared" si="0"/>
        <v>4131</v>
      </c>
      <c r="M206" s="151" t="str">
        <f t="shared" si="1"/>
        <v>VTE - TIGUAN LWB</v>
      </c>
      <c r="N206" s="152">
        <f>+IF(OR($Q206=Parametres!$G$2,$Q206=Parametres!$G$3),I206,C206)</f>
        <v>-8514800.25</v>
      </c>
      <c r="O206" s="152">
        <f>+IF(OR($Q206=Parametres!$G$2,$Q206=Parametres!$G$3),J206,D206)</f>
        <v>-1278998.56</v>
      </c>
      <c r="P206" s="152">
        <f>+IF(OR($Q206=Parametres!$G$2,$Q206=Parametres!$G$3),K206,E206)</f>
        <v>-9793798.8100000005</v>
      </c>
      <c r="Q206" s="151" t="str">
        <f t="shared" si="14"/>
        <v>5-Ventes</v>
      </c>
      <c r="R206" s="150" t="str">
        <f t="shared" si="14"/>
        <v>4131</v>
      </c>
      <c r="S206" s="151">
        <f t="shared" si="14"/>
        <v>0</v>
      </c>
      <c r="T206" s="153">
        <f>+VLOOKUP($L206,Data_Validation!$A:$D,1,0)</f>
        <v>4131</v>
      </c>
      <c r="U206" s="153" t="str">
        <f>+VLOOKUP($L206,Data_Validation!$A:$D,3,0)</f>
        <v>Véhicules neufs</v>
      </c>
      <c r="V206" s="153" t="str">
        <f>+VLOOKUP($L206,Data_Validation!$A:$D,4,0)</f>
        <v>Camions détail</v>
      </c>
      <c r="W206" s="153" t="str">
        <f>+VLOOKUP($L206,Data_Validation!$A:$E,5,0)</f>
        <v>$</v>
      </c>
      <c r="X206" s="153" t="str">
        <f>+VLOOKUP($L206,Data_Validation!$A:$F,6,0)</f>
        <v>Oui</v>
      </c>
    </row>
    <row r="207" spans="1:24" ht="15" customHeight="1">
      <c r="A207" s="1430" t="s">
        <v>2493</v>
      </c>
      <c r="B207" s="1430" t="s">
        <v>2494</v>
      </c>
      <c r="C207" s="1431"/>
      <c r="D207" s="1431"/>
      <c r="E207" s="1431"/>
      <c r="F207" s="1430" t="s">
        <v>4</v>
      </c>
      <c r="G207" s="1430" t="s">
        <v>1992</v>
      </c>
      <c r="H207" s="1431"/>
      <c r="I207" s="1432">
        <v>-218</v>
      </c>
      <c r="J207" s="1432">
        <v>-30</v>
      </c>
      <c r="K207" s="1432">
        <v>-248</v>
      </c>
      <c r="L207" s="150" t="str">
        <f t="shared" si="0"/>
        <v>4131@</v>
      </c>
      <c r="M207" s="151" t="str">
        <f t="shared" si="1"/>
        <v># DE VTE - TIGUAN LWB</v>
      </c>
      <c r="N207" s="152">
        <f>+IF(OR($Q207=Parametres!$G$2,$Q207=Parametres!$G$3),I207,C207)</f>
        <v>-218</v>
      </c>
      <c r="O207" s="152">
        <f>+IF(OR($Q207=Parametres!$G$2,$Q207=Parametres!$G$3),J207,D207)</f>
        <v>-30</v>
      </c>
      <c r="P207" s="152">
        <f>+IF(OR($Q207=Parametres!$G$2,$Q207=Parametres!$G$3),K207,E207)</f>
        <v>-248</v>
      </c>
      <c r="Q207" s="151" t="str">
        <f t="shared" si="14"/>
        <v>10-Compte compteur</v>
      </c>
      <c r="R207" s="150" t="str">
        <f t="shared" si="14"/>
        <v>4131</v>
      </c>
      <c r="S207" s="151">
        <f t="shared" si="14"/>
        <v>0</v>
      </c>
      <c r="T207" s="153" t="str">
        <f>+VLOOKUP($L207,Data_Validation!$A:$D,1,0)</f>
        <v>4131@</v>
      </c>
      <c r="U207" s="153" t="str">
        <f>+VLOOKUP($L207,Data_Validation!$A:$D,3,0)</f>
        <v>Véhicules neufs</v>
      </c>
      <c r="V207" s="153" t="str">
        <f>+VLOOKUP($L207,Data_Validation!$A:$D,4,0)</f>
        <v>Camions détail</v>
      </c>
      <c r="W207" s="153" t="str">
        <f>+VLOOKUP($L207,Data_Validation!$A:$E,5,0)</f>
        <v>NB</v>
      </c>
      <c r="X207" s="153">
        <f>+VLOOKUP($L207,Data_Validation!$A:$F,6,0)</f>
        <v>0</v>
      </c>
    </row>
    <row r="208" spans="1:24" ht="15" customHeight="1">
      <c r="A208" s="1430" t="s">
        <v>2021</v>
      </c>
      <c r="B208" s="1433">
        <v>4135</v>
      </c>
      <c r="C208" s="1432">
        <v>-354962.21</v>
      </c>
      <c r="D208" s="1432">
        <v>0</v>
      </c>
      <c r="E208" s="1432">
        <v>-354962.21</v>
      </c>
      <c r="F208" s="1430" t="s">
        <v>282</v>
      </c>
      <c r="G208" s="1430" t="s">
        <v>2022</v>
      </c>
      <c r="H208" s="1431"/>
      <c r="I208" s="1431"/>
      <c r="J208" s="1431"/>
      <c r="K208" s="1431"/>
      <c r="L208" s="150">
        <f t="shared" si="0"/>
        <v>4135</v>
      </c>
      <c r="M208" s="151" t="str">
        <f t="shared" si="1"/>
        <v>VTE - EGOLF</v>
      </c>
      <c r="N208" s="152">
        <f>+IF(OR($Q208=Parametres!$G$2,$Q208=Parametres!$G$3),I208,C208)</f>
        <v>-354962.21</v>
      </c>
      <c r="O208" s="152">
        <f>+IF(OR($Q208=Parametres!$G$2,$Q208=Parametres!$G$3),J208,D208)</f>
        <v>0</v>
      </c>
      <c r="P208" s="152">
        <f>+IF(OR($Q208=Parametres!$G$2,$Q208=Parametres!$G$3),K208,E208)</f>
        <v>-354962.21</v>
      </c>
      <c r="Q208" s="151" t="str">
        <f t="shared" si="14"/>
        <v>5-Ventes</v>
      </c>
      <c r="R208" s="150" t="str">
        <f t="shared" si="14"/>
        <v>4135</v>
      </c>
      <c r="S208" s="151">
        <f t="shared" si="14"/>
        <v>0</v>
      </c>
      <c r="T208" s="153">
        <f>+VLOOKUP($L208,Data_Validation!$A:$D,1,0)</f>
        <v>4135</v>
      </c>
      <c r="U208" s="153" t="str">
        <f>+VLOOKUP($L208,Data_Validation!$A:$D,3,0)</f>
        <v>Véhicules neufs</v>
      </c>
      <c r="V208" s="153" t="str">
        <f>+VLOOKUP($L208,Data_Validation!$A:$D,4,0)</f>
        <v>Autos détail</v>
      </c>
      <c r="W208" s="153" t="str">
        <f>+VLOOKUP($L208,Data_Validation!$A:$E,5,0)</f>
        <v>$</v>
      </c>
      <c r="X208" s="153" t="str">
        <f>+VLOOKUP($L208,Data_Validation!$A:$F,6,0)</f>
        <v>Oui</v>
      </c>
    </row>
    <row r="209" spans="1:24" ht="15" customHeight="1">
      <c r="A209" s="1430" t="s">
        <v>2495</v>
      </c>
      <c r="B209" s="1430" t="s">
        <v>2496</v>
      </c>
      <c r="C209" s="1431"/>
      <c r="D209" s="1431"/>
      <c r="E209" s="1431"/>
      <c r="F209" s="1430" t="s">
        <v>4</v>
      </c>
      <c r="G209" s="1430" t="s">
        <v>2497</v>
      </c>
      <c r="H209" s="1431"/>
      <c r="I209" s="1432">
        <v>-10</v>
      </c>
      <c r="J209" s="1432">
        <v>0</v>
      </c>
      <c r="K209" s="1432">
        <v>-10</v>
      </c>
      <c r="L209" s="150" t="str">
        <f t="shared" si="0"/>
        <v>4135@</v>
      </c>
      <c r="M209" s="151" t="str">
        <f t="shared" si="1"/>
        <v>UNITES VENDUES - EGOLF</v>
      </c>
      <c r="N209" s="152">
        <f>+IF(OR($Q209=Parametres!$G$2,$Q209=Parametres!$G$3),I209,C209)</f>
        <v>-10</v>
      </c>
      <c r="O209" s="152">
        <f>+IF(OR($Q209=Parametres!$G$2,$Q209=Parametres!$G$3),J209,D209)</f>
        <v>0</v>
      </c>
      <c r="P209" s="152">
        <f>+IF(OR($Q209=Parametres!$G$2,$Q209=Parametres!$G$3),K209,E209)</f>
        <v>-10</v>
      </c>
      <c r="Q209" s="151" t="str">
        <f t="shared" si="14"/>
        <v>10-Compte compteur</v>
      </c>
      <c r="R209" s="150" t="str">
        <f t="shared" si="14"/>
        <v>84135</v>
      </c>
      <c r="S209" s="151">
        <f t="shared" si="14"/>
        <v>0</v>
      </c>
      <c r="T209" s="153" t="str">
        <f>+VLOOKUP($L209,Data_Validation!$A:$D,1,0)</f>
        <v>4135@</v>
      </c>
      <c r="U209" s="153" t="str">
        <f>+VLOOKUP($L209,Data_Validation!$A:$D,3,0)</f>
        <v>Véhicules neufs</v>
      </c>
      <c r="V209" s="153" t="str">
        <f>+VLOOKUP($L209,Data_Validation!$A:$D,4,0)</f>
        <v>Autos détail</v>
      </c>
      <c r="W209" s="153" t="str">
        <f>+VLOOKUP($L209,Data_Validation!$A:$E,5,0)</f>
        <v>NB</v>
      </c>
      <c r="X209" s="153">
        <f>+VLOOKUP($L209,Data_Validation!$A:$F,6,0)</f>
        <v>0</v>
      </c>
    </row>
    <row r="210" spans="1:24" ht="15" customHeight="1">
      <c r="A210" s="1430" t="s">
        <v>2432</v>
      </c>
      <c r="B210" s="1433">
        <v>4137</v>
      </c>
      <c r="C210" s="1432">
        <v>-699015</v>
      </c>
      <c r="D210" s="1432">
        <v>0</v>
      </c>
      <c r="E210" s="1432">
        <v>-699015</v>
      </c>
      <c r="F210" s="1430" t="s">
        <v>282</v>
      </c>
      <c r="G210" s="1430" t="s">
        <v>2433</v>
      </c>
      <c r="H210" s="1431"/>
      <c r="I210" s="1431"/>
      <c r="J210" s="1431"/>
      <c r="K210" s="1431"/>
      <c r="L210" s="150">
        <f t="shared" si="0"/>
        <v>4137</v>
      </c>
      <c r="M210" s="151" t="str">
        <f t="shared" si="1"/>
        <v>VTE - VW-FLOTTE/VENTES ENTR/EMPLOYE/VEH DEMON</v>
      </c>
      <c r="N210" s="152">
        <f>+IF(OR($Q210=Parametres!$G$2,$Q210=Parametres!$G$3),I210,C210)</f>
        <v>-699015</v>
      </c>
      <c r="O210" s="152">
        <f>+IF(OR($Q210=Parametres!$G$2,$Q210=Parametres!$G$3),J210,D210)</f>
        <v>0</v>
      </c>
      <c r="P210" s="152">
        <f>+IF(OR($Q210=Parametres!$G$2,$Q210=Parametres!$G$3),K210,E210)</f>
        <v>-699015</v>
      </c>
      <c r="Q210" s="151" t="str">
        <f t="shared" ref="Q210:S225" si="15">+F210</f>
        <v>5-Ventes</v>
      </c>
      <c r="R210" s="150" t="str">
        <f t="shared" si="15"/>
        <v>4137</v>
      </c>
      <c r="S210" s="151">
        <f t="shared" si="15"/>
        <v>0</v>
      </c>
      <c r="T210" s="153">
        <f>+VLOOKUP($L210,Data_Validation!$A:$D,1,0)</f>
        <v>4137</v>
      </c>
      <c r="U210" s="153" t="str">
        <f>+VLOOKUP($L210,Data_Validation!$A:$D,3,0)</f>
        <v>Véhicules neufs</v>
      </c>
      <c r="V210" s="153" t="str">
        <f>+VLOOKUP($L210,Data_Validation!$A:$D,4,0)</f>
        <v>Flottes</v>
      </c>
      <c r="W210" s="153" t="str">
        <f>+VLOOKUP($L210,Data_Validation!$A:$E,5,0)</f>
        <v>$</v>
      </c>
      <c r="X210" s="153" t="str">
        <f>+VLOOKUP($L210,Data_Validation!$A:$F,6,0)</f>
        <v>Oui</v>
      </c>
    </row>
    <row r="211" spans="1:24" ht="15.75" customHeight="1">
      <c r="A211" s="1430" t="s">
        <v>2498</v>
      </c>
      <c r="B211" s="1430" t="s">
        <v>2499</v>
      </c>
      <c r="C211" s="1431"/>
      <c r="D211" s="1431"/>
      <c r="E211" s="1431"/>
      <c r="F211" s="1430" t="s">
        <v>4</v>
      </c>
      <c r="G211" s="1430" t="s">
        <v>2433</v>
      </c>
      <c r="H211" s="1431"/>
      <c r="I211" s="1432">
        <v>-19</v>
      </c>
      <c r="J211" s="1432">
        <v>0</v>
      </c>
      <c r="K211" s="1432">
        <v>-19</v>
      </c>
      <c r="L211" s="150" t="str">
        <f t="shared" si="0"/>
        <v>4137@</v>
      </c>
      <c r="M211" s="151" t="str">
        <f t="shared" si="1"/>
        <v>VW FLOTTE/VENTE ENTR/EMPLOYE/VEH DEMONST</v>
      </c>
      <c r="N211" s="152">
        <f>+IF(OR($Q211=Parametres!$G$2,$Q211=Parametres!$G$3),I211,C211)</f>
        <v>-19</v>
      </c>
      <c r="O211" s="152">
        <f>+IF(OR($Q211=Parametres!$G$2,$Q211=Parametres!$G$3),J211,D211)</f>
        <v>0</v>
      </c>
      <c r="P211" s="152">
        <f>+IF(OR($Q211=Parametres!$G$2,$Q211=Parametres!$G$3),K211,E211)</f>
        <v>-19</v>
      </c>
      <c r="Q211" s="151" t="str">
        <f t="shared" si="15"/>
        <v>10-Compte compteur</v>
      </c>
      <c r="R211" s="150" t="str">
        <f t="shared" si="15"/>
        <v>4137</v>
      </c>
      <c r="S211" s="151">
        <f t="shared" si="15"/>
        <v>0</v>
      </c>
      <c r="T211" s="153" t="str">
        <f>+VLOOKUP($L211,Data_Validation!$A:$D,1,0)</f>
        <v>4137@</v>
      </c>
      <c r="U211" s="153" t="str">
        <f>+VLOOKUP($L211,Data_Validation!$A:$D,3,0)</f>
        <v>Véhicules neufs</v>
      </c>
      <c r="V211" s="153" t="str">
        <f>+VLOOKUP($L211,Data_Validation!$A:$D,4,0)</f>
        <v>Flottes</v>
      </c>
      <c r="W211" s="153" t="str">
        <f>+VLOOKUP($L211,Data_Validation!$A:$E,5,0)</f>
        <v>NB</v>
      </c>
      <c r="X211" s="153">
        <f>+VLOOKUP($L211,Data_Validation!$A:$F,6,0)</f>
        <v>0</v>
      </c>
    </row>
    <row r="212" spans="1:24" ht="15" customHeight="1">
      <c r="A212" s="1430" t="s">
        <v>1997</v>
      </c>
      <c r="B212" s="1433">
        <v>4139</v>
      </c>
      <c r="C212" s="1432">
        <v>-2253405.5</v>
      </c>
      <c r="D212" s="1432">
        <v>-328011.73</v>
      </c>
      <c r="E212" s="1432">
        <v>-2581417.23</v>
      </c>
      <c r="F212" s="1430" t="s">
        <v>282</v>
      </c>
      <c r="G212" s="1430" t="s">
        <v>1998</v>
      </c>
      <c r="H212" s="1431"/>
      <c r="I212" s="1431"/>
      <c r="J212" s="1431"/>
      <c r="K212" s="1431"/>
      <c r="L212" s="150">
        <f t="shared" si="0"/>
        <v>4139</v>
      </c>
      <c r="M212" s="151" t="str">
        <f t="shared" si="1"/>
        <v>VTE - VW FLOTTE/VENTE ENTR/EMPLOYE/VEH DEMONS</v>
      </c>
      <c r="N212" s="152">
        <f>+IF(OR($Q212=Parametres!$G$2,$Q212=Parametres!$G$3),I212,C212)</f>
        <v>-2253405.5</v>
      </c>
      <c r="O212" s="152">
        <f>+IF(OR($Q212=Parametres!$G$2,$Q212=Parametres!$G$3),J212,D212)</f>
        <v>-328011.73</v>
      </c>
      <c r="P212" s="152">
        <f>+IF(OR($Q212=Parametres!$G$2,$Q212=Parametres!$G$3),K212,E212)</f>
        <v>-2581417.23</v>
      </c>
      <c r="Q212" s="151" t="str">
        <f t="shared" si="15"/>
        <v>5-Ventes</v>
      </c>
      <c r="R212" s="150" t="str">
        <f t="shared" si="15"/>
        <v>4139</v>
      </c>
      <c r="S212" s="151">
        <f t="shared" si="15"/>
        <v>0</v>
      </c>
      <c r="T212" s="153">
        <f>+VLOOKUP($L212,Data_Validation!$A:$D,1,0)</f>
        <v>4139</v>
      </c>
      <c r="U212" s="153" t="str">
        <f>+VLOOKUP($L212,Data_Validation!$A:$D,3,0)</f>
        <v>Véhicules neufs</v>
      </c>
      <c r="V212" s="153" t="str">
        <f>+VLOOKUP($L212,Data_Validation!$A:$D,4,0)</f>
        <v>Ex-Démos et courtoisies</v>
      </c>
      <c r="W212" s="153" t="str">
        <f>+VLOOKUP($L212,Data_Validation!$A:$E,5,0)</f>
        <v>$</v>
      </c>
      <c r="X212" s="153" t="str">
        <f>+VLOOKUP($L212,Data_Validation!$A:$F,6,0)</f>
        <v>Oui</v>
      </c>
    </row>
    <row r="213" spans="1:24" ht="15" customHeight="1">
      <c r="A213" s="1430" t="s">
        <v>2500</v>
      </c>
      <c r="B213" s="1430" t="s">
        <v>2501</v>
      </c>
      <c r="C213" s="1431"/>
      <c r="D213" s="1431"/>
      <c r="E213" s="1431"/>
      <c r="F213" s="1430" t="s">
        <v>4</v>
      </c>
      <c r="G213" s="1430" t="s">
        <v>1998</v>
      </c>
      <c r="H213" s="1431"/>
      <c r="I213" s="1432">
        <v>-67</v>
      </c>
      <c r="J213" s="1432">
        <v>-11</v>
      </c>
      <c r="K213" s="1432">
        <v>-78</v>
      </c>
      <c r="L213" s="150" t="str">
        <f t="shared" si="0"/>
        <v>4139@</v>
      </c>
      <c r="M213" s="151" t="str">
        <f t="shared" si="1"/>
        <v>VENTES A PARK AVENUE LOCATION</v>
      </c>
      <c r="N213" s="152">
        <f>+IF(OR($Q213=Parametres!$G$2,$Q213=Parametres!$G$3),I213,C213)</f>
        <v>-67</v>
      </c>
      <c r="O213" s="152">
        <f>+IF(OR($Q213=Parametres!$G$2,$Q213=Parametres!$G$3),J213,D213)</f>
        <v>-11</v>
      </c>
      <c r="P213" s="152">
        <f>+IF(OR($Q213=Parametres!$G$2,$Q213=Parametres!$G$3),K213,E213)</f>
        <v>-78</v>
      </c>
      <c r="Q213" s="151" t="str">
        <f t="shared" si="15"/>
        <v>10-Compte compteur</v>
      </c>
      <c r="R213" s="150" t="str">
        <f t="shared" si="15"/>
        <v>4139</v>
      </c>
      <c r="S213" s="151">
        <f t="shared" si="15"/>
        <v>0</v>
      </c>
      <c r="T213" s="153" t="str">
        <f>+VLOOKUP($L213,Data_Validation!$A:$D,1,0)</f>
        <v>4139@</v>
      </c>
      <c r="U213" s="153" t="str">
        <f>+VLOOKUP($L213,Data_Validation!$A:$D,3,0)</f>
        <v>Véhicules neufs</v>
      </c>
      <c r="V213" s="153" t="str">
        <f>+VLOOKUP($L213,Data_Validation!$A:$D,4,0)</f>
        <v>Ex-Démos et courtoisies</v>
      </c>
      <c r="W213" s="153" t="str">
        <f>+VLOOKUP($L213,Data_Validation!$A:$E,5,0)</f>
        <v>NB</v>
      </c>
      <c r="X213" s="153">
        <f>+VLOOKUP($L213,Data_Validation!$A:$F,6,0)</f>
        <v>0</v>
      </c>
    </row>
    <row r="214" spans="1:24" ht="15" customHeight="1">
      <c r="A214" s="1430" t="s">
        <v>1993</v>
      </c>
      <c r="B214" s="1433">
        <v>4201</v>
      </c>
      <c r="C214" s="1432">
        <v>-7039269.2599999998</v>
      </c>
      <c r="D214" s="1432">
        <v>-793834.32</v>
      </c>
      <c r="E214" s="1432">
        <v>-7833103.5800000001</v>
      </c>
      <c r="F214" s="1430" t="s">
        <v>282</v>
      </c>
      <c r="G214" s="1430" t="s">
        <v>1994</v>
      </c>
      <c r="H214" s="1431"/>
      <c r="I214" s="1431"/>
      <c r="J214" s="1431"/>
      <c r="K214" s="1431"/>
      <c r="L214" s="150">
        <f t="shared" si="0"/>
        <v>4201</v>
      </c>
      <c r="M214" s="151" t="str">
        <f t="shared" si="1"/>
        <v>VTE - VEH.USAGE VW DETAIL CERTIFIE</v>
      </c>
      <c r="N214" s="152">
        <f>+IF(OR($Q214=Parametres!$G$2,$Q214=Parametres!$G$3),I214,C214)</f>
        <v>-7039269.2599999998</v>
      </c>
      <c r="O214" s="152">
        <f>+IF(OR($Q214=Parametres!$G$2,$Q214=Parametres!$G$3),J214,D214)</f>
        <v>-793834.32</v>
      </c>
      <c r="P214" s="152">
        <f>+IF(OR($Q214=Parametres!$G$2,$Q214=Parametres!$G$3),K214,E214)</f>
        <v>-7833103.5800000001</v>
      </c>
      <c r="Q214" s="151" t="str">
        <f t="shared" si="15"/>
        <v>5-Ventes</v>
      </c>
      <c r="R214" s="150" t="str">
        <f t="shared" si="15"/>
        <v>4201</v>
      </c>
      <c r="S214" s="151">
        <f t="shared" si="15"/>
        <v>0</v>
      </c>
      <c r="T214" s="153">
        <f>+VLOOKUP($L214,Data_Validation!$A:$D,1,0)</f>
        <v>4201</v>
      </c>
      <c r="U214" s="153" t="str">
        <f>+VLOOKUP($L214,Data_Validation!$A:$D,3,0)</f>
        <v>Véhicules usagés</v>
      </c>
      <c r="V214" s="153" t="str">
        <f>+VLOOKUP($L214,Data_Validation!$A:$D,4,0)</f>
        <v>Certifié</v>
      </c>
      <c r="W214" s="153" t="str">
        <f>+VLOOKUP($L214,Data_Validation!$A:$E,5,0)</f>
        <v>$</v>
      </c>
      <c r="X214" s="153" t="str">
        <f>+VLOOKUP($L214,Data_Validation!$A:$F,6,0)</f>
        <v>Oui</v>
      </c>
    </row>
    <row r="215" spans="1:24" ht="15.75" customHeight="1">
      <c r="A215" s="1430" t="s">
        <v>2502</v>
      </c>
      <c r="B215" s="1430" t="s">
        <v>2503</v>
      </c>
      <c r="C215" s="1431"/>
      <c r="D215" s="1431"/>
      <c r="E215" s="1431"/>
      <c r="F215" s="1430" t="s">
        <v>4</v>
      </c>
      <c r="G215" s="1430" t="s">
        <v>1994</v>
      </c>
      <c r="H215" s="1431"/>
      <c r="I215" s="1432">
        <v>-313</v>
      </c>
      <c r="J215" s="1432">
        <v>-33</v>
      </c>
      <c r="K215" s="1432">
        <v>-346</v>
      </c>
      <c r="L215" s="150" t="str">
        <f t="shared" si="0"/>
        <v>4201@</v>
      </c>
      <c r="M215" s="151" t="str">
        <f t="shared" si="1"/>
        <v># DE VTE - VEH.USAGE VW DET.CERT.</v>
      </c>
      <c r="N215" s="152">
        <f>+IF(OR($Q215=Parametres!$G$2,$Q215=Parametres!$G$3),I215,C215)</f>
        <v>-313</v>
      </c>
      <c r="O215" s="152">
        <f>+IF(OR($Q215=Parametres!$G$2,$Q215=Parametres!$G$3),J215,D215)</f>
        <v>-33</v>
      </c>
      <c r="P215" s="152">
        <f>+IF(OR($Q215=Parametres!$G$2,$Q215=Parametres!$G$3),K215,E215)</f>
        <v>-346</v>
      </c>
      <c r="Q215" s="151" t="str">
        <f t="shared" si="15"/>
        <v>10-Compte compteur</v>
      </c>
      <c r="R215" s="150" t="str">
        <f t="shared" si="15"/>
        <v>4201</v>
      </c>
      <c r="S215" s="151">
        <f t="shared" si="15"/>
        <v>0</v>
      </c>
      <c r="T215" s="153" t="str">
        <f>+VLOOKUP($L215,Data_Validation!$A:$D,1,0)</f>
        <v>4201@</v>
      </c>
      <c r="U215" s="153" t="str">
        <f>+VLOOKUP($L215,Data_Validation!$A:$D,3,0)</f>
        <v>Véhicules usagés</v>
      </c>
      <c r="V215" s="153" t="str">
        <f>+VLOOKUP($L215,Data_Validation!$A:$D,4,0)</f>
        <v>Certifié</v>
      </c>
      <c r="W215" s="153" t="str">
        <f>+VLOOKUP($L215,Data_Validation!$A:$E,5,0)</f>
        <v>NB</v>
      </c>
      <c r="X215" s="153">
        <f>+VLOOKUP($L215,Data_Validation!$A:$F,6,0)</f>
        <v>0</v>
      </c>
    </row>
    <row r="216" spans="1:24" ht="15" customHeight="1">
      <c r="A216" s="1430" t="s">
        <v>2031</v>
      </c>
      <c r="B216" s="1433">
        <v>4285</v>
      </c>
      <c r="C216" s="1432">
        <v>-199799.8</v>
      </c>
      <c r="D216" s="1432">
        <v>-10187</v>
      </c>
      <c r="E216" s="1432">
        <v>-209986.8</v>
      </c>
      <c r="F216" s="1430" t="s">
        <v>282</v>
      </c>
      <c r="G216" s="1430" t="s">
        <v>2033</v>
      </c>
      <c r="H216" s="1431"/>
      <c r="I216" s="1431"/>
      <c r="J216" s="1431"/>
      <c r="K216" s="1431"/>
      <c r="L216" s="150">
        <f t="shared" si="0"/>
        <v>4285</v>
      </c>
      <c r="M216" s="151" t="str">
        <f t="shared" si="1"/>
        <v>VEH. D'OCC. AUTRE DETAIL</v>
      </c>
      <c r="N216" s="152">
        <f>+IF(OR($Q216=Parametres!$G$2,$Q216=Parametres!$G$3),I216,C216)</f>
        <v>-199799.8</v>
      </c>
      <c r="O216" s="152">
        <f>+IF(OR($Q216=Parametres!$G$2,$Q216=Parametres!$G$3),J216,D216)</f>
        <v>-10187</v>
      </c>
      <c r="P216" s="152">
        <f>+IF(OR($Q216=Parametres!$G$2,$Q216=Parametres!$G$3),K216,E216)</f>
        <v>-209986.8</v>
      </c>
      <c r="Q216" s="151" t="str">
        <f t="shared" si="15"/>
        <v>5-Ventes</v>
      </c>
      <c r="R216" s="150" t="str">
        <f t="shared" si="15"/>
        <v>4261</v>
      </c>
      <c r="S216" s="151">
        <f t="shared" si="15"/>
        <v>0</v>
      </c>
      <c r="T216" s="153">
        <f>+VLOOKUP($L216,Data_Validation!$A:$D,1,0)</f>
        <v>4285</v>
      </c>
      <c r="U216" s="153" t="str">
        <f>+VLOOKUP($L216,Data_Validation!$A:$D,3,0)</f>
        <v>Véhicules usagés</v>
      </c>
      <c r="V216" s="153" t="str">
        <f>+VLOOKUP($L216,Data_Validation!$A:$D,4,0)</f>
        <v>Non Certifié</v>
      </c>
      <c r="W216" s="153" t="str">
        <f>+VLOOKUP($L216,Data_Validation!$A:$E,5,0)</f>
        <v>$</v>
      </c>
      <c r="X216" s="153" t="str">
        <f>+VLOOKUP($L216,Data_Validation!$A:$F,6,0)</f>
        <v>Oui</v>
      </c>
    </row>
    <row r="217" spans="1:24" ht="15" customHeight="1">
      <c r="A217" s="1430" t="s">
        <v>2506</v>
      </c>
      <c r="B217" s="1430" t="s">
        <v>2507</v>
      </c>
      <c r="C217" s="1431"/>
      <c r="D217" s="1431"/>
      <c r="E217" s="1431"/>
      <c r="F217" s="1430" t="s">
        <v>4</v>
      </c>
      <c r="G217" s="1430" t="s">
        <v>2033</v>
      </c>
      <c r="H217" s="1431"/>
      <c r="I217" s="1432">
        <v>-9</v>
      </c>
      <c r="J217" s="1432">
        <v>-1</v>
      </c>
      <c r="K217" s="1432">
        <v>-10</v>
      </c>
      <c r="L217" s="150" t="str">
        <f t="shared" si="0"/>
        <v>4285@</v>
      </c>
      <c r="M217" s="151" t="str">
        <f t="shared" si="1"/>
        <v>AUTRE MARQUES DETAIL - USAGE</v>
      </c>
      <c r="N217" s="152">
        <f>+IF(OR($Q217=Parametres!$G$2,$Q217=Parametres!$G$3),I217,C217)</f>
        <v>-9</v>
      </c>
      <c r="O217" s="152">
        <f>+IF(OR($Q217=Parametres!$G$2,$Q217=Parametres!$G$3),J217,D217)</f>
        <v>-1</v>
      </c>
      <c r="P217" s="152">
        <f>+IF(OR($Q217=Parametres!$G$2,$Q217=Parametres!$G$3),K217,E217)</f>
        <v>-10</v>
      </c>
      <c r="Q217" s="151" t="str">
        <f t="shared" si="15"/>
        <v>10-Compte compteur</v>
      </c>
      <c r="R217" s="150" t="str">
        <f t="shared" si="15"/>
        <v>4261</v>
      </c>
      <c r="S217" s="151">
        <f t="shared" si="15"/>
        <v>0</v>
      </c>
      <c r="T217" s="153" t="str">
        <f>+VLOOKUP($L217,Data_Validation!$A:$D,1,0)</f>
        <v>4285@</v>
      </c>
      <c r="U217" s="153" t="str">
        <f>+VLOOKUP($L217,Data_Validation!$A:$D,3,0)</f>
        <v>Véhicules usagés</v>
      </c>
      <c r="V217" s="153" t="str">
        <f>+VLOOKUP($L217,Data_Validation!$A:$D,4,0)</f>
        <v>Non Certifié</v>
      </c>
      <c r="W217" s="153" t="str">
        <f>+VLOOKUP($L217,Data_Validation!$A:$E,5,0)</f>
        <v>NB</v>
      </c>
      <c r="X217" s="153">
        <f>+VLOOKUP($L217,Data_Validation!$A:$F,6,0)</f>
        <v>0</v>
      </c>
    </row>
    <row r="218" spans="1:24" ht="15" customHeight="1">
      <c r="A218" s="1430" t="s">
        <v>1999</v>
      </c>
      <c r="B218" s="1433">
        <v>4291</v>
      </c>
      <c r="C218" s="1432">
        <v>-4193258.41</v>
      </c>
      <c r="D218" s="1432">
        <v>-463442</v>
      </c>
      <c r="E218" s="1432">
        <v>-4656700.41</v>
      </c>
      <c r="F218" s="1430" t="s">
        <v>282</v>
      </c>
      <c r="G218" s="1430" t="s">
        <v>2001</v>
      </c>
      <c r="H218" s="1431"/>
      <c r="I218" s="1431"/>
      <c r="J218" s="1431"/>
      <c r="K218" s="1431"/>
      <c r="L218" s="150">
        <f t="shared" si="0"/>
        <v>4291</v>
      </c>
      <c r="M218" s="151" t="str">
        <f t="shared" si="1"/>
        <v>VEH. D'OCC. AU GROS</v>
      </c>
      <c r="N218" s="152">
        <f>+IF(OR($Q218=Parametres!$G$2,$Q218=Parametres!$G$3),I218,C218)</f>
        <v>-4193258.41</v>
      </c>
      <c r="O218" s="152">
        <f>+IF(OR($Q218=Parametres!$G$2,$Q218=Parametres!$G$3),J218,D218)</f>
        <v>-463442</v>
      </c>
      <c r="P218" s="152">
        <f>+IF(OR($Q218=Parametres!$G$2,$Q218=Parametres!$G$3),K218,E218)</f>
        <v>-4656700.41</v>
      </c>
      <c r="Q218" s="151" t="str">
        <f t="shared" si="15"/>
        <v>5-Ventes</v>
      </c>
      <c r="R218" s="150" t="str">
        <f t="shared" si="15"/>
        <v>4281</v>
      </c>
      <c r="S218" s="151">
        <f t="shared" si="15"/>
        <v>0</v>
      </c>
      <c r="T218" s="153">
        <f>+VLOOKUP($L218,Data_Validation!$A:$D,1,0)</f>
        <v>4291</v>
      </c>
      <c r="U218" s="153" t="str">
        <f>+VLOOKUP($L218,Data_Validation!$A:$D,3,0)</f>
        <v>Véhicules usagés</v>
      </c>
      <c r="V218" s="153" t="str">
        <f>+VLOOKUP($L218,Data_Validation!$A:$D,4,0)</f>
        <v>Ventes au Gros</v>
      </c>
      <c r="W218" s="153" t="str">
        <f>+VLOOKUP($L218,Data_Validation!$A:$E,5,0)</f>
        <v>$</v>
      </c>
      <c r="X218" s="153" t="str">
        <f>+VLOOKUP($L218,Data_Validation!$A:$F,6,0)</f>
        <v>Oui</v>
      </c>
    </row>
    <row r="219" spans="1:24" ht="15.75" customHeight="1">
      <c r="A219" s="1430" t="s">
        <v>2508</v>
      </c>
      <c r="B219" s="1430" t="s">
        <v>2509</v>
      </c>
      <c r="C219" s="1431"/>
      <c r="D219" s="1431"/>
      <c r="E219" s="1431"/>
      <c r="F219" s="1430" t="s">
        <v>4</v>
      </c>
      <c r="G219" s="1430" t="s">
        <v>2001</v>
      </c>
      <c r="H219" s="1431"/>
      <c r="I219" s="1432">
        <v>-352</v>
      </c>
      <c r="J219" s="1432">
        <v>-33</v>
      </c>
      <c r="K219" s="1432">
        <v>-385</v>
      </c>
      <c r="L219" s="150" t="str">
        <f t="shared" si="0"/>
        <v>4291@</v>
      </c>
      <c r="M219" s="151" t="str">
        <f t="shared" si="1"/>
        <v>VENTE AU GROS - USAGES</v>
      </c>
      <c r="N219" s="152">
        <f>+IF(OR($Q219=Parametres!$G$2,$Q219=Parametres!$G$3),I219,C219)</f>
        <v>-352</v>
      </c>
      <c r="O219" s="152">
        <f>+IF(OR($Q219=Parametres!$G$2,$Q219=Parametres!$G$3),J219,D219)</f>
        <v>-33</v>
      </c>
      <c r="P219" s="152">
        <f>+IF(OR($Q219=Parametres!$G$2,$Q219=Parametres!$G$3),K219,E219)</f>
        <v>-385</v>
      </c>
      <c r="Q219" s="151" t="str">
        <f t="shared" si="15"/>
        <v>10-Compte compteur</v>
      </c>
      <c r="R219" s="150" t="str">
        <f t="shared" si="15"/>
        <v>4281</v>
      </c>
      <c r="S219" s="151">
        <f t="shared" si="15"/>
        <v>0</v>
      </c>
      <c r="T219" s="153" t="str">
        <f>+VLOOKUP($L219,Data_Validation!$A:$D,1,0)</f>
        <v>4291@</v>
      </c>
      <c r="U219" s="153" t="str">
        <f>+VLOOKUP($L219,Data_Validation!$A:$D,3,0)</f>
        <v>Véhicules usagés</v>
      </c>
      <c r="V219" s="153" t="str">
        <f>+VLOOKUP($L219,Data_Validation!$A:$D,4,0)</f>
        <v>Ventes au Gros</v>
      </c>
      <c r="W219" s="153" t="str">
        <f>+VLOOKUP($L219,Data_Validation!$A:$E,5,0)</f>
        <v>NB</v>
      </c>
      <c r="X219" s="153">
        <f>+VLOOKUP($L219,Data_Validation!$A:$F,6,0)</f>
        <v>0</v>
      </c>
    </row>
    <row r="220" spans="1:24" ht="15" customHeight="1">
      <c r="A220" s="1430" t="s">
        <v>2004</v>
      </c>
      <c r="B220" s="1433">
        <v>4401</v>
      </c>
      <c r="C220" s="1432">
        <v>-782159.31</v>
      </c>
      <c r="D220" s="1432">
        <v>-141058.62</v>
      </c>
      <c r="E220" s="1432">
        <v>-923217.93</v>
      </c>
      <c r="F220" s="1430" t="s">
        <v>282</v>
      </c>
      <c r="G220" s="1430" t="s">
        <v>2005</v>
      </c>
      <c r="H220" s="1431"/>
      <c r="I220" s="1431"/>
      <c r="J220" s="1431"/>
      <c r="K220" s="1431"/>
      <c r="L220" s="150">
        <f t="shared" si="0"/>
        <v>4401</v>
      </c>
      <c r="M220" s="151" t="str">
        <f t="shared" si="1"/>
        <v>M.O. MECANIQUE-VENTE CLIENTS</v>
      </c>
      <c r="N220" s="152">
        <f>+IF(OR($Q220=Parametres!$G$2,$Q220=Parametres!$G$3),I220,C220)</f>
        <v>-782159.31</v>
      </c>
      <c r="O220" s="152">
        <f>+IF(OR($Q220=Parametres!$G$2,$Q220=Parametres!$G$3),J220,D220)</f>
        <v>-141058.62</v>
      </c>
      <c r="P220" s="152">
        <f>+IF(OR($Q220=Parametres!$G$2,$Q220=Parametres!$G$3),K220,E220)</f>
        <v>-923217.93</v>
      </c>
      <c r="Q220" s="151" t="str">
        <f t="shared" si="15"/>
        <v>5-Ventes</v>
      </c>
      <c r="R220" s="150" t="str">
        <f t="shared" si="15"/>
        <v>4401</v>
      </c>
      <c r="S220" s="151">
        <f t="shared" si="15"/>
        <v>0</v>
      </c>
      <c r="T220" s="153">
        <f>+VLOOKUP($L220,Data_Validation!$A:$D,1,0)</f>
        <v>4401</v>
      </c>
      <c r="U220" s="153" t="str">
        <f>+VLOOKUP($L220,Data_Validation!$A:$D,3,0)</f>
        <v>Service</v>
      </c>
      <c r="V220" s="153" t="str">
        <f>+VLOOKUP($L220,Data_Validation!$A:$D,4,0)</f>
        <v>M/O Client</v>
      </c>
      <c r="W220" s="153" t="str">
        <f>+VLOOKUP($L220,Data_Validation!$A:$E,5,0)</f>
        <v>$</v>
      </c>
      <c r="X220" s="153" t="str">
        <f>+VLOOKUP($L220,Data_Validation!$A:$F,6,0)</f>
        <v>Oui</v>
      </c>
    </row>
    <row r="221" spans="1:24" ht="15" customHeight="1">
      <c r="A221" s="1430" t="s">
        <v>2004</v>
      </c>
      <c r="B221" s="1430" t="s">
        <v>2510</v>
      </c>
      <c r="C221" s="1431"/>
      <c r="D221" s="1431"/>
      <c r="E221" s="1431"/>
      <c r="F221" s="1430" t="s">
        <v>4</v>
      </c>
      <c r="G221" s="1430" t="s">
        <v>2005</v>
      </c>
      <c r="H221" s="1431"/>
      <c r="I221" s="1432">
        <v>-3540</v>
      </c>
      <c r="J221" s="1432">
        <v>-545</v>
      </c>
      <c r="K221" s="1432">
        <v>-4085</v>
      </c>
      <c r="L221" s="150" t="str">
        <f t="shared" si="0"/>
        <v>4401@</v>
      </c>
      <c r="M221" s="151" t="str">
        <f t="shared" si="1"/>
        <v>M.O. MECANIQUE-VENTE CLIENTS</v>
      </c>
      <c r="N221" s="152">
        <f>+IF(OR($Q221=Parametres!$G$2,$Q221=Parametres!$G$3),I221,C221)</f>
        <v>-3540</v>
      </c>
      <c r="O221" s="152">
        <f>+IF(OR($Q221=Parametres!$G$2,$Q221=Parametres!$G$3),J221,D221)</f>
        <v>-545</v>
      </c>
      <c r="P221" s="152">
        <f>+IF(OR($Q221=Parametres!$G$2,$Q221=Parametres!$G$3),K221,E221)</f>
        <v>-4085</v>
      </c>
      <c r="Q221" s="151" t="str">
        <f t="shared" si="15"/>
        <v>10-Compte compteur</v>
      </c>
      <c r="R221" s="150" t="str">
        <f t="shared" si="15"/>
        <v>4401</v>
      </c>
      <c r="S221" s="151">
        <f t="shared" si="15"/>
        <v>0</v>
      </c>
      <c r="T221" s="153" t="str">
        <f>+VLOOKUP($L221,Data_Validation!$A:$D,1,0)</f>
        <v>4401@</v>
      </c>
      <c r="U221" s="153" t="str">
        <f>+VLOOKUP($L221,Data_Validation!$A:$D,3,0)</f>
        <v>Service</v>
      </c>
      <c r="V221" s="153" t="str">
        <f>+VLOOKUP($L221,Data_Validation!$A:$D,4,0)</f>
        <v>M/O Client</v>
      </c>
      <c r="W221" s="153" t="str">
        <f>+VLOOKUP($L221,Data_Validation!$A:$E,5,0)</f>
        <v>NB</v>
      </c>
      <c r="X221" s="153">
        <f>+VLOOKUP($L221,Data_Validation!$A:$F,6,0)</f>
        <v>0</v>
      </c>
    </row>
    <row r="222" spans="1:24" ht="15" customHeight="1">
      <c r="A222" s="1430" t="s">
        <v>2184</v>
      </c>
      <c r="B222" s="1433">
        <v>4402</v>
      </c>
      <c r="C222" s="1432">
        <v>-3594.8</v>
      </c>
      <c r="D222" s="1432">
        <v>-469.85</v>
      </c>
      <c r="E222" s="1432">
        <v>-4064.65</v>
      </c>
      <c r="F222" s="1430" t="s">
        <v>282</v>
      </c>
      <c r="G222" s="1430" t="s">
        <v>2185</v>
      </c>
      <c r="H222" s="1431"/>
      <c r="I222" s="1431"/>
      <c r="J222" s="1431"/>
      <c r="K222" s="1431"/>
      <c r="L222" s="150">
        <f t="shared" si="0"/>
        <v>4402</v>
      </c>
      <c r="M222" s="151" t="str">
        <f t="shared" si="1"/>
        <v>VTE - M.O. ESTHETIQUE CLIENT</v>
      </c>
      <c r="N222" s="152">
        <f>+IF(OR($Q222=Parametres!$G$2,$Q222=Parametres!$G$3),I222,C222)</f>
        <v>-3594.8</v>
      </c>
      <c r="O222" s="152">
        <f>+IF(OR($Q222=Parametres!$G$2,$Q222=Parametres!$G$3),J222,D222)</f>
        <v>-469.85</v>
      </c>
      <c r="P222" s="152">
        <f>+IF(OR($Q222=Parametres!$G$2,$Q222=Parametres!$G$3),K222,E222)</f>
        <v>-4064.65</v>
      </c>
      <c r="Q222" s="151" t="str">
        <f t="shared" si="15"/>
        <v>5-Ventes</v>
      </c>
      <c r="R222" s="150" t="str">
        <f t="shared" si="15"/>
        <v>4402</v>
      </c>
      <c r="S222" s="151">
        <f t="shared" si="15"/>
        <v>0</v>
      </c>
      <c r="T222" s="153">
        <f>+VLOOKUP($L222,Data_Validation!$A:$D,1,0)</f>
        <v>4402</v>
      </c>
      <c r="U222" s="153" t="str">
        <f>+VLOOKUP($L222,Data_Validation!$A:$D,3,0)</f>
        <v>Service</v>
      </c>
      <c r="V222" s="153" t="str">
        <f>+VLOOKUP($L222,Data_Validation!$A:$D,4,0)</f>
        <v>M/O Esthétique</v>
      </c>
      <c r="W222" s="153" t="str">
        <f>+VLOOKUP($L222,Data_Validation!$A:$E,5,0)</f>
        <v>$</v>
      </c>
      <c r="X222" s="153" t="str">
        <f>+VLOOKUP($L222,Data_Validation!$A:$F,6,0)</f>
        <v>Oui</v>
      </c>
    </row>
    <row r="223" spans="1:24" ht="15" customHeight="1">
      <c r="A223" s="1430" t="s">
        <v>2034</v>
      </c>
      <c r="B223" s="1433">
        <v>4403</v>
      </c>
      <c r="C223" s="1432">
        <v>-512800.82</v>
      </c>
      <c r="D223" s="1432">
        <v>-51414.36</v>
      </c>
      <c r="E223" s="1432">
        <v>-564215.18000000005</v>
      </c>
      <c r="F223" s="1430" t="s">
        <v>282</v>
      </c>
      <c r="G223" s="1430" t="s">
        <v>2035</v>
      </c>
      <c r="H223" s="1431"/>
      <c r="I223" s="1431"/>
      <c r="J223" s="1431"/>
      <c r="K223" s="1431"/>
      <c r="L223" s="150">
        <f t="shared" si="0"/>
        <v>4403</v>
      </c>
      <c r="M223" s="151" t="str">
        <f t="shared" si="1"/>
        <v>M.O. MECANIQUE-VENTE GAR. MANU</v>
      </c>
      <c r="N223" s="152">
        <f>+IF(OR($Q223=Parametres!$G$2,$Q223=Parametres!$G$3),I223,C223)</f>
        <v>-512800.82</v>
      </c>
      <c r="O223" s="152">
        <f>+IF(OR($Q223=Parametres!$G$2,$Q223=Parametres!$G$3),J223,D223)</f>
        <v>-51414.36</v>
      </c>
      <c r="P223" s="152">
        <f>+IF(OR($Q223=Parametres!$G$2,$Q223=Parametres!$G$3),K223,E223)</f>
        <v>-564215.18000000005</v>
      </c>
      <c r="Q223" s="151" t="str">
        <f t="shared" si="15"/>
        <v>5-Ventes</v>
      </c>
      <c r="R223" s="150" t="str">
        <f t="shared" si="15"/>
        <v>4403</v>
      </c>
      <c r="S223" s="151">
        <f t="shared" si="15"/>
        <v>0</v>
      </c>
      <c r="T223" s="153">
        <f>+VLOOKUP($L223,Data_Validation!$A:$D,1,0)</f>
        <v>4403</v>
      </c>
      <c r="U223" s="153" t="str">
        <f>+VLOOKUP($L223,Data_Validation!$A:$D,3,0)</f>
        <v>Service</v>
      </c>
      <c r="V223" s="153" t="str">
        <f>+VLOOKUP($L223,Data_Validation!$A:$D,4,0)</f>
        <v>M/O Garantie</v>
      </c>
      <c r="W223" s="153" t="str">
        <f>+VLOOKUP($L223,Data_Validation!$A:$E,5,0)</f>
        <v>$</v>
      </c>
      <c r="X223" s="153" t="str">
        <f>+VLOOKUP($L223,Data_Validation!$A:$F,6,0)</f>
        <v>Oui</v>
      </c>
    </row>
    <row r="224" spans="1:24" ht="15" customHeight="1">
      <c r="A224" s="1430" t="s">
        <v>2034</v>
      </c>
      <c r="B224" s="1430" t="s">
        <v>2513</v>
      </c>
      <c r="C224" s="1431"/>
      <c r="D224" s="1431"/>
      <c r="E224" s="1431"/>
      <c r="F224" s="1430" t="s">
        <v>4</v>
      </c>
      <c r="G224" s="1430" t="s">
        <v>2035</v>
      </c>
      <c r="H224" s="1431"/>
      <c r="I224" s="1432">
        <v>-2457</v>
      </c>
      <c r="J224" s="1432">
        <v>-335</v>
      </c>
      <c r="K224" s="1432">
        <v>-2792</v>
      </c>
      <c r="L224" s="150" t="str">
        <f t="shared" si="0"/>
        <v>4403@</v>
      </c>
      <c r="M224" s="151" t="str">
        <f t="shared" si="1"/>
        <v>M.O. MECANIQUE-VENTE GAR. MANU</v>
      </c>
      <c r="N224" s="152">
        <f>+IF(OR($Q224=Parametres!$G$2,$Q224=Parametres!$G$3),I224,C224)</f>
        <v>-2457</v>
      </c>
      <c r="O224" s="152">
        <f>+IF(OR($Q224=Parametres!$G$2,$Q224=Parametres!$G$3),J224,D224)</f>
        <v>-335</v>
      </c>
      <c r="P224" s="152">
        <f>+IF(OR($Q224=Parametres!$G$2,$Q224=Parametres!$G$3),K224,E224)</f>
        <v>-2792</v>
      </c>
      <c r="Q224" s="151" t="str">
        <f t="shared" si="15"/>
        <v>10-Compte compteur</v>
      </c>
      <c r="R224" s="150" t="str">
        <f t="shared" si="15"/>
        <v>4403</v>
      </c>
      <c r="S224" s="151">
        <f t="shared" si="15"/>
        <v>0</v>
      </c>
      <c r="T224" s="153" t="str">
        <f>+VLOOKUP($L224,Data_Validation!$A:$D,1,0)</f>
        <v>4403@</v>
      </c>
      <c r="U224" s="153" t="str">
        <f>+VLOOKUP($L224,Data_Validation!$A:$D,3,0)</f>
        <v>Service</v>
      </c>
      <c r="V224" s="153" t="str">
        <f>+VLOOKUP($L224,Data_Validation!$A:$D,4,0)</f>
        <v>M/O Garantie</v>
      </c>
      <c r="W224" s="153" t="str">
        <f>+VLOOKUP($L224,Data_Validation!$A:$E,5,0)</f>
        <v>NB</v>
      </c>
      <c r="X224" s="153">
        <f>+VLOOKUP($L224,Data_Validation!$A:$F,6,0)</f>
        <v>0</v>
      </c>
    </row>
    <row r="225" spans="1:24" ht="15.75" customHeight="1">
      <c r="A225" s="1430" t="s">
        <v>2044</v>
      </c>
      <c r="B225" s="1433">
        <v>4405</v>
      </c>
      <c r="C225" s="1432">
        <v>-524796.31000000006</v>
      </c>
      <c r="D225" s="1432">
        <v>-58275</v>
      </c>
      <c r="E225" s="1432">
        <v>-583071.31000000006</v>
      </c>
      <c r="F225" s="1430" t="s">
        <v>282</v>
      </c>
      <c r="G225" s="1430" t="s">
        <v>2045</v>
      </c>
      <c r="H225" s="1431"/>
      <c r="I225" s="1431"/>
      <c r="J225" s="1431"/>
      <c r="K225" s="1431"/>
      <c r="L225" s="150">
        <f t="shared" si="0"/>
        <v>4405</v>
      </c>
      <c r="M225" s="151" t="str">
        <f t="shared" si="1"/>
        <v>M.O. MECANIQUE-VENTE INTERNE</v>
      </c>
      <c r="N225" s="152">
        <f>+IF(OR($Q225=Parametres!$G$2,$Q225=Parametres!$G$3),I225,C225)</f>
        <v>-524796.31000000006</v>
      </c>
      <c r="O225" s="152">
        <f>+IF(OR($Q225=Parametres!$G$2,$Q225=Parametres!$G$3),J225,D225)</f>
        <v>-58275</v>
      </c>
      <c r="P225" s="152">
        <f>+IF(OR($Q225=Parametres!$G$2,$Q225=Parametres!$G$3),K225,E225)</f>
        <v>-583071.31000000006</v>
      </c>
      <c r="Q225" s="151" t="str">
        <f t="shared" si="15"/>
        <v>5-Ventes</v>
      </c>
      <c r="R225" s="150" t="str">
        <f t="shared" si="15"/>
        <v>4405</v>
      </c>
      <c r="S225" s="151">
        <f t="shared" si="15"/>
        <v>0</v>
      </c>
      <c r="T225" s="153">
        <f>+VLOOKUP($L225,Data_Validation!$A:$D,1,0)</f>
        <v>4405</v>
      </c>
      <c r="U225" s="153" t="str">
        <f>+VLOOKUP($L225,Data_Validation!$A:$D,3,0)</f>
        <v>Service</v>
      </c>
      <c r="V225" s="153" t="str">
        <f>+VLOOKUP($L225,Data_Validation!$A:$D,4,0)</f>
        <v>M/O Interne</v>
      </c>
      <c r="W225" s="153" t="str">
        <f>+VLOOKUP($L225,Data_Validation!$A:$E,5,0)</f>
        <v>$</v>
      </c>
      <c r="X225" s="153" t="str">
        <f>+VLOOKUP($L225,Data_Validation!$A:$F,6,0)</f>
        <v>Oui</v>
      </c>
    </row>
    <row r="226" spans="1:24" ht="15" customHeight="1">
      <c r="A226" s="1430" t="s">
        <v>2044</v>
      </c>
      <c r="B226" s="1430" t="s">
        <v>2514</v>
      </c>
      <c r="C226" s="1431"/>
      <c r="D226" s="1431"/>
      <c r="E226" s="1431"/>
      <c r="F226" s="1430" t="s">
        <v>4</v>
      </c>
      <c r="G226" s="1430" t="s">
        <v>2045</v>
      </c>
      <c r="H226" s="1431"/>
      <c r="I226" s="1432">
        <v>-2513</v>
      </c>
      <c r="J226" s="1432">
        <v>-231</v>
      </c>
      <c r="K226" s="1432">
        <v>-2744</v>
      </c>
      <c r="L226" s="150" t="str">
        <f t="shared" si="0"/>
        <v>4405@</v>
      </c>
      <c r="M226" s="151" t="str">
        <f t="shared" si="1"/>
        <v>M.O. MECANIQUE-VENTE INTERNE</v>
      </c>
      <c r="N226" s="152">
        <f>+IF(OR($Q226=Parametres!$G$2,$Q226=Parametres!$G$3),I226,C226)</f>
        <v>-2513</v>
      </c>
      <c r="O226" s="152">
        <f>+IF(OR($Q226=Parametres!$G$2,$Q226=Parametres!$G$3),J226,D226)</f>
        <v>-231</v>
      </c>
      <c r="P226" s="152">
        <f>+IF(OR($Q226=Parametres!$G$2,$Q226=Parametres!$G$3),K226,E226)</f>
        <v>-2744</v>
      </c>
      <c r="Q226" s="151" t="str">
        <f t="shared" ref="Q226:S241" si="16">+F226</f>
        <v>10-Compte compteur</v>
      </c>
      <c r="R226" s="150" t="str">
        <f t="shared" si="16"/>
        <v>4405</v>
      </c>
      <c r="S226" s="151">
        <f t="shared" si="16"/>
        <v>0</v>
      </c>
      <c r="T226" s="153" t="str">
        <f>+VLOOKUP($L226,Data_Validation!$A:$D,1,0)</f>
        <v>4405@</v>
      </c>
      <c r="U226" s="153" t="str">
        <f>+VLOOKUP($L226,Data_Validation!$A:$D,3,0)</f>
        <v>Service</v>
      </c>
      <c r="V226" s="153" t="str">
        <f>+VLOOKUP($L226,Data_Validation!$A:$D,4,0)</f>
        <v>M/O Interne</v>
      </c>
      <c r="W226" s="153" t="str">
        <f>+VLOOKUP($L226,Data_Validation!$A:$E,5,0)</f>
        <v>NB</v>
      </c>
      <c r="X226" s="153">
        <f>+VLOOKUP($L226,Data_Validation!$A:$F,6,0)</f>
        <v>0</v>
      </c>
    </row>
    <row r="227" spans="1:24" ht="15" customHeight="1">
      <c r="A227" s="1430" t="s">
        <v>2619</v>
      </c>
      <c r="B227" s="1433">
        <v>4411</v>
      </c>
      <c r="C227" s="1432">
        <v>100</v>
      </c>
      <c r="D227" s="1432">
        <v>0</v>
      </c>
      <c r="E227" s="1432">
        <v>100</v>
      </c>
      <c r="F227" s="1430" t="s">
        <v>282</v>
      </c>
      <c r="G227" s="1430" t="s">
        <v>328</v>
      </c>
      <c r="H227" s="1431"/>
      <c r="I227" s="1431"/>
      <c r="J227" s="1431"/>
      <c r="K227" s="1431"/>
      <c r="L227" s="150">
        <f t="shared" si="0"/>
        <v>4411</v>
      </c>
      <c r="M227" s="151" t="str">
        <f t="shared" si="1"/>
        <v>VTE - M.O. MECANIQUE CLIENT AUDI</v>
      </c>
      <c r="N227" s="152">
        <f>+IF(OR($Q227=Parametres!$G$2,$Q227=Parametres!$G$3),I227,C227)</f>
        <v>100</v>
      </c>
      <c r="O227" s="152">
        <f>+IF(OR($Q227=Parametres!$G$2,$Q227=Parametres!$G$3),J227,D227)</f>
        <v>0</v>
      </c>
      <c r="P227" s="152">
        <f>+IF(OR($Q227=Parametres!$G$2,$Q227=Parametres!$G$3),K227,E227)</f>
        <v>100</v>
      </c>
      <c r="Q227" s="151" t="str">
        <f t="shared" si="16"/>
        <v>5-Ventes</v>
      </c>
      <c r="R227" s="150" t="str">
        <f t="shared" si="16"/>
        <v>84411</v>
      </c>
      <c r="S227" s="151">
        <f t="shared" si="16"/>
        <v>0</v>
      </c>
      <c r="T227" s="153">
        <f>+VLOOKUP($L227,Data_Validation!$A:$D,1,0)</f>
        <v>4411</v>
      </c>
      <c r="U227" s="153" t="str">
        <f>+VLOOKUP($L227,Data_Validation!$A:$D,3,0)</f>
        <v>Service</v>
      </c>
      <c r="V227" s="153" t="str">
        <f>+VLOOKUP($L227,Data_Validation!$A:$D,4,0)</f>
        <v>M/O Client</v>
      </c>
      <c r="W227" s="153" t="str">
        <f>+VLOOKUP($L227,Data_Validation!$A:$E,5,0)</f>
        <v>$</v>
      </c>
      <c r="X227" s="153" t="str">
        <f>+VLOOKUP($L227,Data_Validation!$A:$F,6,0)</f>
        <v>Oui</v>
      </c>
    </row>
    <row r="228" spans="1:24" ht="15" customHeight="1">
      <c r="A228" s="1430" t="s">
        <v>2515</v>
      </c>
      <c r="B228" s="1430" t="s">
        <v>2516</v>
      </c>
      <c r="C228" s="1431"/>
      <c r="D228" s="1431"/>
      <c r="E228" s="1431"/>
      <c r="F228" s="1430" t="s">
        <v>4</v>
      </c>
      <c r="G228" s="1430" t="s">
        <v>328</v>
      </c>
      <c r="H228" s="1431"/>
      <c r="I228" s="1432">
        <v>1</v>
      </c>
      <c r="J228" s="1432">
        <v>0</v>
      </c>
      <c r="K228" s="1432">
        <v>1</v>
      </c>
      <c r="L228" s="150" t="str">
        <f t="shared" si="0"/>
        <v>4411@</v>
      </c>
      <c r="M228" s="151" t="str">
        <f t="shared" si="1"/>
        <v># DE VTE - M.O. MEC.CLIENT AUDI</v>
      </c>
      <c r="N228" s="152">
        <f>+IF(OR($Q228=Parametres!$G$2,$Q228=Parametres!$G$3),I228,C228)</f>
        <v>1</v>
      </c>
      <c r="O228" s="152">
        <f>+IF(OR($Q228=Parametres!$G$2,$Q228=Parametres!$G$3),J228,D228)</f>
        <v>0</v>
      </c>
      <c r="P228" s="152">
        <f>+IF(OR($Q228=Parametres!$G$2,$Q228=Parametres!$G$3),K228,E228)</f>
        <v>1</v>
      </c>
      <c r="Q228" s="151" t="str">
        <f t="shared" si="16"/>
        <v>10-Compte compteur</v>
      </c>
      <c r="R228" s="150" t="str">
        <f t="shared" si="16"/>
        <v>84411</v>
      </c>
      <c r="S228" s="151">
        <f t="shared" si="16"/>
        <v>0</v>
      </c>
      <c r="T228" s="153" t="str">
        <f>+VLOOKUP($L228,Data_Validation!$A:$D,1,0)</f>
        <v>4411@</v>
      </c>
      <c r="U228" s="153" t="str">
        <f>+VLOOKUP($L228,Data_Validation!$A:$D,3,0)</f>
        <v>Service</v>
      </c>
      <c r="V228" s="153" t="str">
        <f>+VLOOKUP($L228,Data_Validation!$A:$D,4,0)</f>
        <v>M/O Client</v>
      </c>
      <c r="W228" s="153" t="str">
        <f>+VLOOKUP($L228,Data_Validation!$A:$E,5,0)</f>
        <v>NB</v>
      </c>
      <c r="X228" s="153">
        <f>+VLOOKUP($L228,Data_Validation!$A:$F,6,0)</f>
        <v>0</v>
      </c>
    </row>
    <row r="229" spans="1:24" ht="15.75" customHeight="1">
      <c r="A229" s="1430" t="s">
        <v>2064</v>
      </c>
      <c r="B229" s="1433">
        <v>4451</v>
      </c>
      <c r="C229" s="1432">
        <v>-151965.5</v>
      </c>
      <c r="D229" s="1432">
        <v>-22286.28</v>
      </c>
      <c r="E229" s="1432">
        <v>-174251.78</v>
      </c>
      <c r="F229" s="1430" t="s">
        <v>282</v>
      </c>
      <c r="G229" s="1430" t="s">
        <v>2066</v>
      </c>
      <c r="H229" s="1431"/>
      <c r="I229" s="1431"/>
      <c r="J229" s="1431"/>
      <c r="K229" s="1431"/>
      <c r="L229" s="150">
        <f t="shared" si="0"/>
        <v>4451</v>
      </c>
      <c r="M229" s="151" t="str">
        <f t="shared" si="1"/>
        <v>CARBURANT/HUILE/GRAISSE</v>
      </c>
      <c r="N229" s="152">
        <f>+IF(OR($Q229=Parametres!$G$2,$Q229=Parametres!$G$3),I229,C229)</f>
        <v>-151965.5</v>
      </c>
      <c r="O229" s="152">
        <f>+IF(OR($Q229=Parametres!$G$2,$Q229=Parametres!$G$3),J229,D229)</f>
        <v>-22286.28</v>
      </c>
      <c r="P229" s="152">
        <f>+IF(OR($Q229=Parametres!$G$2,$Q229=Parametres!$G$3),K229,E229)</f>
        <v>-174251.78</v>
      </c>
      <c r="Q229" s="151" t="str">
        <f t="shared" si="16"/>
        <v>5-Ventes</v>
      </c>
      <c r="R229" s="150" t="str">
        <f t="shared" si="16"/>
        <v>4782</v>
      </c>
      <c r="S229" s="151">
        <f t="shared" si="16"/>
        <v>0</v>
      </c>
      <c r="T229" s="153">
        <f>+VLOOKUP($L229,Data_Validation!$A:$D,1,0)</f>
        <v>4451</v>
      </c>
      <c r="U229" s="153" t="str">
        <f>+VLOOKUP($L229,Data_Validation!$A:$D,3,0)</f>
        <v>Pièces</v>
      </c>
      <c r="V229" s="153" t="str">
        <f>+VLOOKUP($L229,Data_Validation!$A:$D,4,0)</f>
        <v>Huiles et Graisse</v>
      </c>
      <c r="W229" s="153" t="str">
        <f>+VLOOKUP($L229,Data_Validation!$A:$E,5,0)</f>
        <v>$</v>
      </c>
      <c r="X229" s="153" t="str">
        <f>+VLOOKUP($L229,Data_Validation!$A:$F,6,0)</f>
        <v>Oui</v>
      </c>
    </row>
    <row r="230" spans="1:24" ht="15" customHeight="1">
      <c r="A230" s="1430" t="s">
        <v>2064</v>
      </c>
      <c r="B230" s="1430" t="s">
        <v>2517</v>
      </c>
      <c r="C230" s="1431"/>
      <c r="D230" s="1431"/>
      <c r="E230" s="1431"/>
      <c r="F230" s="1430" t="s">
        <v>4</v>
      </c>
      <c r="G230" s="1430" t="s">
        <v>2066</v>
      </c>
      <c r="H230" s="1431"/>
      <c r="I230" s="1432">
        <v>-2839</v>
      </c>
      <c r="J230" s="1432">
        <v>-391</v>
      </c>
      <c r="K230" s="1432">
        <v>-3230</v>
      </c>
      <c r="L230" s="150" t="str">
        <f t="shared" si="0"/>
        <v>4451@</v>
      </c>
      <c r="M230" s="151" t="str">
        <f t="shared" si="1"/>
        <v>CARBURANT/HUILE/GRAISSE</v>
      </c>
      <c r="N230" s="152">
        <f>+IF(OR($Q230=Parametres!$G$2,$Q230=Parametres!$G$3),I230,C230)</f>
        <v>-2839</v>
      </c>
      <c r="O230" s="152">
        <f>+IF(OR($Q230=Parametres!$G$2,$Q230=Parametres!$G$3),J230,D230)</f>
        <v>-391</v>
      </c>
      <c r="P230" s="152">
        <f>+IF(OR($Q230=Parametres!$G$2,$Q230=Parametres!$G$3),K230,E230)</f>
        <v>-3230</v>
      </c>
      <c r="Q230" s="151" t="str">
        <f t="shared" si="16"/>
        <v>10-Compte compteur</v>
      </c>
      <c r="R230" s="150" t="str">
        <f t="shared" si="16"/>
        <v>4782</v>
      </c>
      <c r="S230" s="151">
        <f t="shared" si="16"/>
        <v>0</v>
      </c>
      <c r="T230" s="153" t="str">
        <f>+VLOOKUP($L230,Data_Validation!$A:$D,1,0)</f>
        <v>4451@</v>
      </c>
      <c r="U230" s="153" t="str">
        <f>+VLOOKUP($L230,Data_Validation!$A:$D,3,0)</f>
        <v>Pièces</v>
      </c>
      <c r="V230" s="153" t="str">
        <f>+VLOOKUP($L230,Data_Validation!$A:$D,4,0)</f>
        <v>Huiles et Graisse</v>
      </c>
      <c r="W230" s="153" t="str">
        <f>+VLOOKUP($L230,Data_Validation!$A:$E,5,0)</f>
        <v>NB</v>
      </c>
      <c r="X230" s="153">
        <f>+VLOOKUP($L230,Data_Validation!$A:$F,6,0)</f>
        <v>0</v>
      </c>
    </row>
    <row r="231" spans="1:24" ht="15" customHeight="1">
      <c r="A231" s="1430" t="s">
        <v>2137</v>
      </c>
      <c r="B231" s="1433">
        <v>4491</v>
      </c>
      <c r="C231" s="1432">
        <v>-11769.86</v>
      </c>
      <c r="D231" s="1432">
        <v>-1099.95</v>
      </c>
      <c r="E231" s="1432">
        <v>-12869.81</v>
      </c>
      <c r="F231" s="1430" t="s">
        <v>282</v>
      </c>
      <c r="G231" s="1430" t="s">
        <v>2138</v>
      </c>
      <c r="H231" s="1431"/>
      <c r="I231" s="1431"/>
      <c r="J231" s="1431"/>
      <c r="K231" s="1431"/>
      <c r="L231" s="150">
        <f t="shared" si="0"/>
        <v>4491</v>
      </c>
      <c r="M231" s="151" t="str">
        <f t="shared" si="1"/>
        <v>REPARATION SOUS-LOC. - GENERAL</v>
      </c>
      <c r="N231" s="152">
        <f>+IF(OR($Q231=Parametres!$G$2,$Q231=Parametres!$G$3),I231,C231)</f>
        <v>-11769.86</v>
      </c>
      <c r="O231" s="152">
        <f>+IF(OR($Q231=Parametres!$G$2,$Q231=Parametres!$G$3),J231,D231)</f>
        <v>-1099.95</v>
      </c>
      <c r="P231" s="152">
        <f>+IF(OR($Q231=Parametres!$G$2,$Q231=Parametres!$G$3),K231,E231)</f>
        <v>-12869.81</v>
      </c>
      <c r="Q231" s="151" t="str">
        <f t="shared" si="16"/>
        <v>5-Ventes</v>
      </c>
      <c r="R231" s="150" t="str">
        <f t="shared" si="16"/>
        <v>4491</v>
      </c>
      <c r="S231" s="151">
        <f t="shared" si="16"/>
        <v>0</v>
      </c>
      <c r="T231" s="153">
        <f>+VLOOKUP($L231,Data_Validation!$A:$D,1,0)</f>
        <v>4491</v>
      </c>
      <c r="U231" s="153" t="str">
        <f>+VLOOKUP($L231,Data_Validation!$A:$D,3,0)</f>
        <v>Service</v>
      </c>
      <c r="V231" s="153" t="str">
        <f>+VLOOKUP($L231,Data_Validation!$A:$D,4,0)</f>
        <v>Sous-traitement</v>
      </c>
      <c r="W231" s="153" t="str">
        <f>+VLOOKUP($L231,Data_Validation!$A:$E,5,0)</f>
        <v>$</v>
      </c>
      <c r="X231" s="153" t="str">
        <f>+VLOOKUP($L231,Data_Validation!$A:$F,6,0)</f>
        <v>Oui</v>
      </c>
    </row>
    <row r="232" spans="1:24" ht="15" customHeight="1">
      <c r="A232" s="1430" t="s">
        <v>2137</v>
      </c>
      <c r="B232" s="1430" t="s">
        <v>2518</v>
      </c>
      <c r="C232" s="1431"/>
      <c r="D232" s="1431"/>
      <c r="E232" s="1431"/>
      <c r="F232" s="1430" t="s">
        <v>4</v>
      </c>
      <c r="G232" s="1430" t="s">
        <v>2138</v>
      </c>
      <c r="H232" s="1431"/>
      <c r="I232" s="1432">
        <v>-60</v>
      </c>
      <c r="J232" s="1432">
        <v>-6</v>
      </c>
      <c r="K232" s="1432">
        <v>-66</v>
      </c>
      <c r="L232" s="150" t="str">
        <f t="shared" si="0"/>
        <v>4491@</v>
      </c>
      <c r="M232" s="151" t="str">
        <f t="shared" si="1"/>
        <v>REPARATION SOUS-LOC. - GENERAL</v>
      </c>
      <c r="N232" s="152">
        <f>+IF(OR($Q232=Parametres!$G$2,$Q232=Parametres!$G$3),I232,C232)</f>
        <v>-60</v>
      </c>
      <c r="O232" s="152">
        <f>+IF(OR($Q232=Parametres!$G$2,$Q232=Parametres!$G$3),J232,D232)</f>
        <v>-6</v>
      </c>
      <c r="P232" s="152">
        <f>+IF(OR($Q232=Parametres!$G$2,$Q232=Parametres!$G$3),K232,E232)</f>
        <v>-66</v>
      </c>
      <c r="Q232" s="151" t="str">
        <f t="shared" si="16"/>
        <v>10-Compte compteur</v>
      </c>
      <c r="R232" s="150" t="str">
        <f t="shared" si="16"/>
        <v>4491</v>
      </c>
      <c r="S232" s="151">
        <f t="shared" si="16"/>
        <v>0</v>
      </c>
      <c r="T232" s="153" t="str">
        <f>+VLOOKUP($L232,Data_Validation!$A:$D,1,0)</f>
        <v>4491@</v>
      </c>
      <c r="U232" s="153" t="str">
        <f>+VLOOKUP($L232,Data_Validation!$A:$D,3,0)</f>
        <v>Service</v>
      </c>
      <c r="V232" s="153" t="str">
        <f>+VLOOKUP($L232,Data_Validation!$A:$D,4,0)</f>
        <v>Sous-traitement</v>
      </c>
      <c r="W232" s="153" t="str">
        <f>+VLOOKUP($L232,Data_Validation!$A:$E,5,0)</f>
        <v>NB</v>
      </c>
      <c r="X232" s="153">
        <f>+VLOOKUP($L232,Data_Validation!$A:$F,6,0)</f>
        <v>0</v>
      </c>
    </row>
    <row r="233" spans="1:24" ht="15" customHeight="1">
      <c r="A233" s="1430" t="s">
        <v>2160</v>
      </c>
      <c r="B233" s="1433">
        <v>4493</v>
      </c>
      <c r="C233" s="1432">
        <v>-18251.150000000001</v>
      </c>
      <c r="D233" s="1432">
        <v>-580</v>
      </c>
      <c r="E233" s="1432">
        <v>-18831.150000000001</v>
      </c>
      <c r="F233" s="1430" t="s">
        <v>282</v>
      </c>
      <c r="G233" s="1430" t="s">
        <v>2161</v>
      </c>
      <c r="H233" s="1431"/>
      <c r="I233" s="1431"/>
      <c r="J233" s="1431"/>
      <c r="K233" s="1431"/>
      <c r="L233" s="150">
        <f t="shared" si="0"/>
        <v>4493</v>
      </c>
      <c r="M233" s="151" t="str">
        <f t="shared" si="1"/>
        <v>VTE - SOUS-TRAITANCE GARANTIE</v>
      </c>
      <c r="N233" s="152">
        <f>+IF(OR($Q233=Parametres!$G$2,$Q233=Parametres!$G$3),I233,C233)</f>
        <v>-18251.150000000001</v>
      </c>
      <c r="O233" s="152">
        <f>+IF(OR($Q233=Parametres!$G$2,$Q233=Parametres!$G$3),J233,D233)</f>
        <v>-580</v>
      </c>
      <c r="P233" s="152">
        <f>+IF(OR($Q233=Parametres!$G$2,$Q233=Parametres!$G$3),K233,E233)</f>
        <v>-18831.150000000001</v>
      </c>
      <c r="Q233" s="151" t="str">
        <f t="shared" si="16"/>
        <v>5-Ventes</v>
      </c>
      <c r="R233" s="150" t="str">
        <f t="shared" si="16"/>
        <v>4493</v>
      </c>
      <c r="S233" s="151">
        <f t="shared" si="16"/>
        <v>0</v>
      </c>
      <c r="T233" s="153">
        <f>+VLOOKUP($L233,Data_Validation!$A:$D,1,0)</f>
        <v>4493</v>
      </c>
      <c r="U233" s="153" t="str">
        <f>+VLOOKUP($L233,Data_Validation!$A:$D,3,0)</f>
        <v>Service</v>
      </c>
      <c r="V233" s="153" t="str">
        <f>+VLOOKUP($L233,Data_Validation!$A:$D,4,0)</f>
        <v>Sous-traitement</v>
      </c>
      <c r="W233" s="153" t="str">
        <f>+VLOOKUP($L233,Data_Validation!$A:$E,5,0)</f>
        <v>$</v>
      </c>
      <c r="X233" s="153" t="str">
        <f>+VLOOKUP($L233,Data_Validation!$A:$F,6,0)</f>
        <v>Oui</v>
      </c>
    </row>
    <row r="234" spans="1:24" ht="15.75" customHeight="1">
      <c r="A234" s="1430" t="s">
        <v>2519</v>
      </c>
      <c r="B234" s="1430" t="s">
        <v>2520</v>
      </c>
      <c r="C234" s="1431"/>
      <c r="D234" s="1431"/>
      <c r="E234" s="1431"/>
      <c r="F234" s="1430" t="s">
        <v>4</v>
      </c>
      <c r="G234" s="1430" t="s">
        <v>2161</v>
      </c>
      <c r="H234" s="1431"/>
      <c r="I234" s="1432">
        <v>-28</v>
      </c>
      <c r="J234" s="1432">
        <v>-3</v>
      </c>
      <c r="K234" s="1432">
        <v>-31</v>
      </c>
      <c r="L234" s="150" t="str">
        <f t="shared" si="0"/>
        <v>4493@</v>
      </c>
      <c r="M234" s="151" t="str">
        <f t="shared" si="1"/>
        <v># DE VTE - SOUS-TRAITANCE GARANTIE</v>
      </c>
      <c r="N234" s="152">
        <f>+IF(OR($Q234=Parametres!$G$2,$Q234=Parametres!$G$3),I234,C234)</f>
        <v>-28</v>
      </c>
      <c r="O234" s="152">
        <f>+IF(OR($Q234=Parametres!$G$2,$Q234=Parametres!$G$3),J234,D234)</f>
        <v>-3</v>
      </c>
      <c r="P234" s="152">
        <f>+IF(OR($Q234=Parametres!$G$2,$Q234=Parametres!$G$3),K234,E234)</f>
        <v>-31</v>
      </c>
      <c r="Q234" s="151" t="str">
        <f t="shared" si="16"/>
        <v>10-Compte compteur</v>
      </c>
      <c r="R234" s="150" t="str">
        <f t="shared" si="16"/>
        <v>4493</v>
      </c>
      <c r="S234" s="151">
        <f t="shared" si="16"/>
        <v>0</v>
      </c>
      <c r="T234" s="153" t="str">
        <f>+VLOOKUP($L234,Data_Validation!$A:$D,1,0)</f>
        <v>4493@</v>
      </c>
      <c r="U234" s="153" t="str">
        <f>+VLOOKUP($L234,Data_Validation!$A:$D,3,0)</f>
        <v>Service</v>
      </c>
      <c r="V234" s="153" t="str">
        <f>+VLOOKUP($L234,Data_Validation!$A:$D,4,0)</f>
        <v>Sous-traitement</v>
      </c>
      <c r="W234" s="153" t="str">
        <f>+VLOOKUP($L234,Data_Validation!$A:$E,5,0)</f>
        <v>NB</v>
      </c>
      <c r="X234" s="153">
        <f>+VLOOKUP($L234,Data_Validation!$A:$F,6,0)</f>
        <v>0</v>
      </c>
    </row>
    <row r="235" spans="1:24" ht="15" customHeight="1">
      <c r="A235" s="1430" t="s">
        <v>2079</v>
      </c>
      <c r="B235" s="1433">
        <v>4495</v>
      </c>
      <c r="C235" s="1432">
        <v>-176669.47</v>
      </c>
      <c r="D235" s="1432">
        <v>-22680.15</v>
      </c>
      <c r="E235" s="1432">
        <v>-199349.62</v>
      </c>
      <c r="F235" s="1430" t="s">
        <v>282</v>
      </c>
      <c r="G235" s="1430" t="s">
        <v>2080</v>
      </c>
      <c r="H235" s="1431"/>
      <c r="I235" s="1431"/>
      <c r="J235" s="1431"/>
      <c r="K235" s="1431"/>
      <c r="L235" s="150">
        <f t="shared" si="0"/>
        <v>4495</v>
      </c>
      <c r="M235" s="151" t="str">
        <f t="shared" si="1"/>
        <v>VTE - S-TRAITANCE MEC.INTERNE VW</v>
      </c>
      <c r="N235" s="152">
        <f>+IF(OR($Q235=Parametres!$G$2,$Q235=Parametres!$G$3),I235,C235)</f>
        <v>-176669.47</v>
      </c>
      <c r="O235" s="152">
        <f>+IF(OR($Q235=Parametres!$G$2,$Q235=Parametres!$G$3),J235,D235)</f>
        <v>-22680.15</v>
      </c>
      <c r="P235" s="152">
        <f>+IF(OR($Q235=Parametres!$G$2,$Q235=Parametres!$G$3),K235,E235)</f>
        <v>-199349.62</v>
      </c>
      <c r="Q235" s="151" t="str">
        <f t="shared" si="16"/>
        <v>5-Ventes</v>
      </c>
      <c r="R235" s="150" t="str">
        <f t="shared" si="16"/>
        <v>4495</v>
      </c>
      <c r="S235" s="151">
        <f t="shared" si="16"/>
        <v>0</v>
      </c>
      <c r="T235" s="153">
        <f>+VLOOKUP($L235,Data_Validation!$A:$D,1,0)</f>
        <v>4495</v>
      </c>
      <c r="U235" s="153" t="str">
        <f>+VLOOKUP($L235,Data_Validation!$A:$D,3,0)</f>
        <v>Service</v>
      </c>
      <c r="V235" s="153" t="str">
        <f>+VLOOKUP($L235,Data_Validation!$A:$D,4,0)</f>
        <v>Sous-traitement</v>
      </c>
      <c r="W235" s="153" t="str">
        <f>+VLOOKUP($L235,Data_Validation!$A:$E,5,0)</f>
        <v>$</v>
      </c>
      <c r="X235" s="153" t="str">
        <f>+VLOOKUP($L235,Data_Validation!$A:$F,6,0)</f>
        <v>Oui</v>
      </c>
    </row>
    <row r="236" spans="1:24" ht="15" customHeight="1">
      <c r="A236" s="1430" t="s">
        <v>2521</v>
      </c>
      <c r="B236" s="1430" t="s">
        <v>2522</v>
      </c>
      <c r="C236" s="1431"/>
      <c r="D236" s="1431"/>
      <c r="E236" s="1431"/>
      <c r="F236" s="1430" t="s">
        <v>4</v>
      </c>
      <c r="G236" s="1430" t="s">
        <v>2080</v>
      </c>
      <c r="H236" s="1431"/>
      <c r="I236" s="1432">
        <v>-753</v>
      </c>
      <c r="J236" s="1432">
        <v>-98</v>
      </c>
      <c r="K236" s="1432">
        <v>-851</v>
      </c>
      <c r="L236" s="150" t="str">
        <f t="shared" si="0"/>
        <v>4495@</v>
      </c>
      <c r="M236" s="151" t="str">
        <f t="shared" si="1"/>
        <v># DE VTE - S-TRAITANCE MEC.INTERNE VW</v>
      </c>
      <c r="N236" s="152">
        <f>+IF(OR($Q236=Parametres!$G$2,$Q236=Parametres!$G$3),I236,C236)</f>
        <v>-753</v>
      </c>
      <c r="O236" s="152">
        <f>+IF(OR($Q236=Parametres!$G$2,$Q236=Parametres!$G$3),J236,D236)</f>
        <v>-98</v>
      </c>
      <c r="P236" s="152">
        <f>+IF(OR($Q236=Parametres!$G$2,$Q236=Parametres!$G$3),K236,E236)</f>
        <v>-851</v>
      </c>
      <c r="Q236" s="151" t="str">
        <f t="shared" si="16"/>
        <v>10-Compte compteur</v>
      </c>
      <c r="R236" s="150" t="str">
        <f t="shared" si="16"/>
        <v>4495</v>
      </c>
      <c r="S236" s="151">
        <f t="shared" si="16"/>
        <v>0</v>
      </c>
      <c r="T236" s="153" t="str">
        <f>+VLOOKUP($L236,Data_Validation!$A:$D,1,0)</f>
        <v>4495@</v>
      </c>
      <c r="U236" s="153" t="str">
        <f>+VLOOKUP($L236,Data_Validation!$A:$D,3,0)</f>
        <v>Service</v>
      </c>
      <c r="V236" s="153" t="str">
        <f>+VLOOKUP($L236,Data_Validation!$A:$D,4,0)</f>
        <v>Sous-traitement</v>
      </c>
      <c r="W236" s="153" t="str">
        <f>+VLOOKUP($L236,Data_Validation!$A:$E,5,0)</f>
        <v>NB</v>
      </c>
      <c r="X236" s="153">
        <f>+VLOOKUP($L236,Data_Validation!$A:$F,6,0)</f>
        <v>0</v>
      </c>
    </row>
    <row r="237" spans="1:24" ht="15" customHeight="1">
      <c r="A237" s="1430" t="s">
        <v>2062</v>
      </c>
      <c r="B237" s="1433">
        <v>4591</v>
      </c>
      <c r="C237" s="1432">
        <v>-250077.61</v>
      </c>
      <c r="D237" s="1432">
        <v>-44564.65</v>
      </c>
      <c r="E237" s="1432">
        <v>-294642.26</v>
      </c>
      <c r="F237" s="1430" t="s">
        <v>282</v>
      </c>
      <c r="G237" s="1430" t="s">
        <v>2063</v>
      </c>
      <c r="H237" s="1431"/>
      <c r="I237" s="1431"/>
      <c r="J237" s="1431"/>
      <c r="K237" s="1431"/>
      <c r="L237" s="150">
        <f t="shared" si="0"/>
        <v>4591</v>
      </c>
      <c r="M237" s="151" t="str">
        <f t="shared" si="1"/>
        <v>VTE - S-TRAIT. CARR.</v>
      </c>
      <c r="N237" s="152">
        <f>+IF(OR($Q237=Parametres!$G$2,$Q237=Parametres!$G$3),I237,C237)</f>
        <v>-250077.61</v>
      </c>
      <c r="O237" s="152">
        <f>+IF(OR($Q237=Parametres!$G$2,$Q237=Parametres!$G$3),J237,D237)</f>
        <v>-44564.65</v>
      </c>
      <c r="P237" s="152">
        <f>+IF(OR($Q237=Parametres!$G$2,$Q237=Parametres!$G$3),K237,E237)</f>
        <v>-294642.26</v>
      </c>
      <c r="Q237" s="151" t="str">
        <f t="shared" si="16"/>
        <v>5-Ventes</v>
      </c>
      <c r="R237" s="150" t="str">
        <f t="shared" si="16"/>
        <v>4591</v>
      </c>
      <c r="S237" s="151">
        <f t="shared" si="16"/>
        <v>0</v>
      </c>
      <c r="T237" s="153">
        <f>+VLOOKUP($L237,Data_Validation!$A:$D,1,0)</f>
        <v>4591</v>
      </c>
      <c r="U237" s="153" t="str">
        <f>+VLOOKUP($L237,Data_Validation!$A:$D,3,0)</f>
        <v>Carrosserie</v>
      </c>
      <c r="V237" s="153" t="str">
        <f>+VLOOKUP($L237,Data_Validation!$A:$D,4,0)</f>
        <v>M/O Sous-traitement</v>
      </c>
      <c r="W237" s="153" t="str">
        <f>+VLOOKUP($L237,Data_Validation!$A:$E,5,0)</f>
        <v>$</v>
      </c>
      <c r="X237" s="153" t="str">
        <f>+VLOOKUP($L237,Data_Validation!$A:$F,6,0)</f>
        <v>Oui</v>
      </c>
    </row>
    <row r="238" spans="1:24" ht="15.75" customHeight="1">
      <c r="A238" s="1430" t="s">
        <v>2523</v>
      </c>
      <c r="B238" s="1430" t="s">
        <v>2524</v>
      </c>
      <c r="C238" s="1431"/>
      <c r="D238" s="1431"/>
      <c r="E238" s="1431"/>
      <c r="F238" s="1430" t="s">
        <v>4</v>
      </c>
      <c r="G238" s="1430" t="s">
        <v>2063</v>
      </c>
      <c r="H238" s="1431"/>
      <c r="I238" s="1432">
        <v>-176</v>
      </c>
      <c r="J238" s="1432">
        <v>-19</v>
      </c>
      <c r="K238" s="1432">
        <v>-195</v>
      </c>
      <c r="L238" s="150" t="str">
        <f t="shared" si="0"/>
        <v>4591@</v>
      </c>
      <c r="M238" s="151" t="str">
        <f t="shared" si="1"/>
        <v>REPARATION SOUS-LOC.-PEINT/DEB</v>
      </c>
      <c r="N238" s="152">
        <f>+IF(OR($Q238=Parametres!$G$2,$Q238=Parametres!$G$3),I238,C238)</f>
        <v>-176</v>
      </c>
      <c r="O238" s="152">
        <f>+IF(OR($Q238=Parametres!$G$2,$Q238=Parametres!$G$3),J238,D238)</f>
        <v>-19</v>
      </c>
      <c r="P238" s="152">
        <f>+IF(OR($Q238=Parametres!$G$2,$Q238=Parametres!$G$3),K238,E238)</f>
        <v>-195</v>
      </c>
      <c r="Q238" s="151" t="str">
        <f t="shared" si="16"/>
        <v>10-Compte compteur</v>
      </c>
      <c r="R238" s="150" t="str">
        <f t="shared" si="16"/>
        <v>4591</v>
      </c>
      <c r="S238" s="151">
        <f t="shared" si="16"/>
        <v>0</v>
      </c>
      <c r="T238" s="153" t="str">
        <f>+VLOOKUP($L238,Data_Validation!$A:$D,1,0)</f>
        <v>4591@</v>
      </c>
      <c r="U238" s="153" t="str">
        <f>+VLOOKUP($L238,Data_Validation!$A:$D,3,0)</f>
        <v>Carrosserie</v>
      </c>
      <c r="V238" s="153" t="str">
        <f>+VLOOKUP($L238,Data_Validation!$A:$D,4,0)</f>
        <v>M/O Sous-traitement</v>
      </c>
      <c r="W238" s="153" t="str">
        <f>+VLOOKUP($L238,Data_Validation!$A:$E,5,0)</f>
        <v>NB</v>
      </c>
      <c r="X238" s="153">
        <f>+VLOOKUP($L238,Data_Validation!$A:$F,6,0)</f>
        <v>0</v>
      </c>
    </row>
    <row r="239" spans="1:24" ht="15" customHeight="1">
      <c r="A239" s="1430" t="s">
        <v>2060</v>
      </c>
      <c r="B239" s="1433">
        <v>4593</v>
      </c>
      <c r="C239" s="1432">
        <v>-404214.16</v>
      </c>
      <c r="D239" s="1432">
        <v>-43974.29</v>
      </c>
      <c r="E239" s="1432">
        <v>-448188.45</v>
      </c>
      <c r="F239" s="1430" t="s">
        <v>282</v>
      </c>
      <c r="G239" s="1430" t="s">
        <v>2061</v>
      </c>
      <c r="H239" s="1431"/>
      <c r="I239" s="1431"/>
      <c r="J239" s="1431"/>
      <c r="K239" s="1431"/>
      <c r="L239" s="150">
        <f t="shared" si="0"/>
        <v>4593</v>
      </c>
      <c r="M239" s="151" t="str">
        <f t="shared" si="1"/>
        <v>VTE - SOUS-TRAITANCE GARANTIE CARR.</v>
      </c>
      <c r="N239" s="152">
        <f>+IF(OR($Q239=Parametres!$G$2,$Q239=Parametres!$G$3),I239,C239)</f>
        <v>-404214.16</v>
      </c>
      <c r="O239" s="152">
        <f>+IF(OR($Q239=Parametres!$G$2,$Q239=Parametres!$G$3),J239,D239)</f>
        <v>-43974.29</v>
      </c>
      <c r="P239" s="152">
        <f>+IF(OR($Q239=Parametres!$G$2,$Q239=Parametres!$G$3),K239,E239)</f>
        <v>-448188.45</v>
      </c>
      <c r="Q239" s="151" t="str">
        <f t="shared" si="16"/>
        <v>5-Ventes</v>
      </c>
      <c r="R239" s="150" t="str">
        <f t="shared" si="16"/>
        <v>4593</v>
      </c>
      <c r="S239" s="151">
        <f t="shared" si="16"/>
        <v>0</v>
      </c>
      <c r="T239" s="153">
        <f>+VLOOKUP($L239,Data_Validation!$A:$D,1,0)</f>
        <v>4593</v>
      </c>
      <c r="U239" s="153" t="str">
        <f>+VLOOKUP($L239,Data_Validation!$A:$D,3,0)</f>
        <v>Carrosserie</v>
      </c>
      <c r="V239" s="153" t="str">
        <f>+VLOOKUP($L239,Data_Validation!$A:$D,4,0)</f>
        <v>M/O Sous-traitement</v>
      </c>
      <c r="W239" s="153" t="str">
        <f>+VLOOKUP($L239,Data_Validation!$A:$E,5,0)</f>
        <v>$</v>
      </c>
      <c r="X239" s="153" t="str">
        <f>+VLOOKUP($L239,Data_Validation!$A:$F,6,0)</f>
        <v>Oui</v>
      </c>
    </row>
    <row r="240" spans="1:24" ht="15" customHeight="1">
      <c r="A240" s="1430" t="s">
        <v>2525</v>
      </c>
      <c r="B240" s="1430" t="s">
        <v>2526</v>
      </c>
      <c r="C240" s="1431"/>
      <c r="D240" s="1431"/>
      <c r="E240" s="1431"/>
      <c r="F240" s="1430" t="s">
        <v>4</v>
      </c>
      <c r="G240" s="1430" t="s">
        <v>2061</v>
      </c>
      <c r="H240" s="1431"/>
      <c r="I240" s="1432">
        <v>-197</v>
      </c>
      <c r="J240" s="1432">
        <v>-19</v>
      </c>
      <c r="K240" s="1432">
        <v>-216</v>
      </c>
      <c r="L240" s="150" t="str">
        <f t="shared" si="0"/>
        <v>4593@</v>
      </c>
      <c r="M240" s="151" t="str">
        <f t="shared" si="1"/>
        <v># DE VTE - S-TRAITANCE GAR.CARR.</v>
      </c>
      <c r="N240" s="152">
        <f>+IF(OR($Q240=Parametres!$G$2,$Q240=Parametres!$G$3),I240,C240)</f>
        <v>-197</v>
      </c>
      <c r="O240" s="152">
        <f>+IF(OR($Q240=Parametres!$G$2,$Q240=Parametres!$G$3),J240,D240)</f>
        <v>-19</v>
      </c>
      <c r="P240" s="152">
        <f>+IF(OR($Q240=Parametres!$G$2,$Q240=Parametres!$G$3),K240,E240)</f>
        <v>-216</v>
      </c>
      <c r="Q240" s="151" t="str">
        <f t="shared" si="16"/>
        <v>10-Compte compteur</v>
      </c>
      <c r="R240" s="150" t="str">
        <f t="shared" si="16"/>
        <v>4593</v>
      </c>
      <c r="S240" s="151">
        <f t="shared" si="16"/>
        <v>0</v>
      </c>
      <c r="T240" s="153" t="str">
        <f>+VLOOKUP($L240,Data_Validation!$A:$D,1,0)</f>
        <v>4593@</v>
      </c>
      <c r="U240" s="153" t="str">
        <f>+VLOOKUP($L240,Data_Validation!$A:$D,3,0)</f>
        <v>Carrosserie</v>
      </c>
      <c r="V240" s="153" t="str">
        <f>+VLOOKUP($L240,Data_Validation!$A:$D,4,0)</f>
        <v>M/O Sous-traitement</v>
      </c>
      <c r="W240" s="153" t="str">
        <f>+VLOOKUP($L240,Data_Validation!$A:$E,5,0)</f>
        <v>NB</v>
      </c>
      <c r="X240" s="153">
        <f>+VLOOKUP($L240,Data_Validation!$A:$F,6,0)</f>
        <v>0</v>
      </c>
    </row>
    <row r="241" spans="1:24" ht="15" customHeight="1">
      <c r="A241" s="1430" t="s">
        <v>2093</v>
      </c>
      <c r="B241" s="1433">
        <v>4595</v>
      </c>
      <c r="C241" s="1432">
        <v>-73320.77</v>
      </c>
      <c r="D241" s="1432">
        <v>-11662.38</v>
      </c>
      <c r="E241" s="1432">
        <v>-84983.15</v>
      </c>
      <c r="F241" s="1430" t="s">
        <v>282</v>
      </c>
      <c r="G241" s="1430" t="s">
        <v>2094</v>
      </c>
      <c r="H241" s="1431"/>
      <c r="I241" s="1431"/>
      <c r="J241" s="1431"/>
      <c r="K241" s="1431"/>
      <c r="L241" s="150">
        <f t="shared" si="0"/>
        <v>4595</v>
      </c>
      <c r="M241" s="151" t="str">
        <f t="shared" si="1"/>
        <v>VTE - SOUS-TRAITANCE INTERNE CARR.</v>
      </c>
      <c r="N241" s="152">
        <f>+IF(OR($Q241=Parametres!$G$2,$Q241=Parametres!$G$3),I241,C241)</f>
        <v>-73320.77</v>
      </c>
      <c r="O241" s="152">
        <f>+IF(OR($Q241=Parametres!$G$2,$Q241=Parametres!$G$3),J241,D241)</f>
        <v>-11662.38</v>
      </c>
      <c r="P241" s="152">
        <f>+IF(OR($Q241=Parametres!$G$2,$Q241=Parametres!$G$3),K241,E241)</f>
        <v>-84983.15</v>
      </c>
      <c r="Q241" s="151" t="str">
        <f t="shared" si="16"/>
        <v>5-Ventes</v>
      </c>
      <c r="R241" s="150" t="str">
        <f t="shared" si="16"/>
        <v>4595</v>
      </c>
      <c r="S241" s="151">
        <f t="shared" si="16"/>
        <v>0</v>
      </c>
      <c r="T241" s="153">
        <f>+VLOOKUP($L241,Data_Validation!$A:$D,1,0)</f>
        <v>4595</v>
      </c>
      <c r="U241" s="153" t="str">
        <f>+VLOOKUP($L241,Data_Validation!$A:$D,3,0)</f>
        <v>Carrosserie</v>
      </c>
      <c r="V241" s="153" t="str">
        <f>+VLOOKUP($L241,Data_Validation!$A:$D,4,0)</f>
        <v>M/O Sous-traitement</v>
      </c>
      <c r="W241" s="153" t="str">
        <f>+VLOOKUP($L241,Data_Validation!$A:$E,5,0)</f>
        <v>$</v>
      </c>
      <c r="X241" s="153" t="str">
        <f>+VLOOKUP($L241,Data_Validation!$A:$F,6,0)</f>
        <v>Oui</v>
      </c>
    </row>
    <row r="242" spans="1:24" ht="15" customHeight="1">
      <c r="A242" s="1430" t="s">
        <v>2527</v>
      </c>
      <c r="B242" s="1430" t="s">
        <v>2528</v>
      </c>
      <c r="C242" s="1431"/>
      <c r="D242" s="1431"/>
      <c r="E242" s="1431"/>
      <c r="F242" s="1430" t="s">
        <v>4</v>
      </c>
      <c r="G242" s="1430" t="s">
        <v>2094</v>
      </c>
      <c r="H242" s="1431"/>
      <c r="I242" s="1432">
        <v>-170</v>
      </c>
      <c r="J242" s="1432">
        <v>-22</v>
      </c>
      <c r="K242" s="1432">
        <v>-192</v>
      </c>
      <c r="L242" s="150" t="str">
        <f t="shared" si="0"/>
        <v>4595@</v>
      </c>
      <c r="M242" s="151" t="str">
        <f t="shared" si="1"/>
        <v># DE VTE - S-TRAIT.INTERNE CARR.</v>
      </c>
      <c r="N242" s="152">
        <f>+IF(OR($Q242=Parametres!$G$2,$Q242=Parametres!$G$3),I242,C242)</f>
        <v>-170</v>
      </c>
      <c r="O242" s="152">
        <f>+IF(OR($Q242=Parametres!$G$2,$Q242=Parametres!$G$3),J242,D242)</f>
        <v>-22</v>
      </c>
      <c r="P242" s="152">
        <f>+IF(OR($Q242=Parametres!$G$2,$Q242=Parametres!$G$3),K242,E242)</f>
        <v>-192</v>
      </c>
      <c r="Q242" s="151" t="str">
        <f t="shared" ref="Q242:S257" si="17">+F242</f>
        <v>10-Compte compteur</v>
      </c>
      <c r="R242" s="150" t="str">
        <f t="shared" si="17"/>
        <v>4595</v>
      </c>
      <c r="S242" s="151">
        <f t="shared" si="17"/>
        <v>0</v>
      </c>
      <c r="T242" s="153" t="str">
        <f>+VLOOKUP($L242,Data_Validation!$A:$D,1,0)</f>
        <v>4595@</v>
      </c>
      <c r="U242" s="153" t="str">
        <f>+VLOOKUP($L242,Data_Validation!$A:$D,3,0)</f>
        <v>Carrosserie</v>
      </c>
      <c r="V242" s="153" t="str">
        <f>+VLOOKUP($L242,Data_Validation!$A:$D,4,0)</f>
        <v>M/O Sous-traitement</v>
      </c>
      <c r="W242" s="153" t="str">
        <f>+VLOOKUP($L242,Data_Validation!$A:$E,5,0)</f>
        <v>NB</v>
      </c>
      <c r="X242" s="153">
        <f>+VLOOKUP($L242,Data_Validation!$A:$F,6,0)</f>
        <v>0</v>
      </c>
    </row>
    <row r="243" spans="1:24" ht="15.75" customHeight="1">
      <c r="A243" s="1430" t="s">
        <v>2016</v>
      </c>
      <c r="B243" s="1433">
        <v>4701</v>
      </c>
      <c r="C243" s="1432">
        <v>-503188.37</v>
      </c>
      <c r="D243" s="1432">
        <v>-73658.97</v>
      </c>
      <c r="E243" s="1432">
        <v>-576847.34</v>
      </c>
      <c r="F243" s="1430" t="s">
        <v>282</v>
      </c>
      <c r="G243" s="1430" t="s">
        <v>2017</v>
      </c>
      <c r="H243" s="1431"/>
      <c r="I243" s="1431"/>
      <c r="J243" s="1431"/>
      <c r="K243" s="1431"/>
      <c r="L243" s="150">
        <f t="shared" si="0"/>
        <v>4701</v>
      </c>
      <c r="M243" s="151" t="str">
        <f t="shared" si="1"/>
        <v>VTE - PIECE/ACC B.R. CLIENT VW</v>
      </c>
      <c r="N243" s="152">
        <f>+IF(OR($Q243=Parametres!$G$2,$Q243=Parametres!$G$3),I243,C243)</f>
        <v>-503188.37</v>
      </c>
      <c r="O243" s="152">
        <f>+IF(OR($Q243=Parametres!$G$2,$Q243=Parametres!$G$3),J243,D243)</f>
        <v>-73658.97</v>
      </c>
      <c r="P243" s="152">
        <f>+IF(OR($Q243=Parametres!$G$2,$Q243=Parametres!$G$3),K243,E243)</f>
        <v>-576847.34</v>
      </c>
      <c r="Q243" s="151" t="str">
        <f t="shared" si="17"/>
        <v>5-Ventes</v>
      </c>
      <c r="R243" s="150" t="str">
        <f t="shared" si="17"/>
        <v>4701</v>
      </c>
      <c r="S243" s="151">
        <f t="shared" si="17"/>
        <v>0</v>
      </c>
      <c r="T243" s="153">
        <f>+VLOOKUP($L243,Data_Validation!$A:$D,1,0)</f>
        <v>4701</v>
      </c>
      <c r="U243" s="153" t="str">
        <f>+VLOOKUP($L243,Data_Validation!$A:$D,3,0)</f>
        <v>Pièces</v>
      </c>
      <c r="V243" s="153" t="str">
        <f>+VLOOKUP($L243,Data_Validation!$A:$D,4,0)</f>
        <v>Pièces Ro Clients</v>
      </c>
      <c r="W243" s="153" t="str">
        <f>+VLOOKUP($L243,Data_Validation!$A:$E,5,0)</f>
        <v>$</v>
      </c>
      <c r="X243" s="153" t="str">
        <f>+VLOOKUP($L243,Data_Validation!$A:$F,6,0)</f>
        <v>Oui</v>
      </c>
    </row>
    <row r="244" spans="1:24" ht="15" customHeight="1">
      <c r="A244" s="1430" t="s">
        <v>2529</v>
      </c>
      <c r="B244" s="1430" t="s">
        <v>2530</v>
      </c>
      <c r="C244" s="1431"/>
      <c r="D244" s="1431"/>
      <c r="E244" s="1431"/>
      <c r="F244" s="1430" t="s">
        <v>4</v>
      </c>
      <c r="G244" s="1430" t="s">
        <v>2017</v>
      </c>
      <c r="H244" s="1431"/>
      <c r="I244" s="1432">
        <v>-3204</v>
      </c>
      <c r="J244" s="1432">
        <v>-514</v>
      </c>
      <c r="K244" s="1432">
        <v>-3718</v>
      </c>
      <c r="L244" s="150" t="str">
        <f t="shared" si="0"/>
        <v>4701@</v>
      </c>
      <c r="M244" s="151" t="str">
        <f t="shared" si="1"/>
        <v>PIECES-BON REPARATION- CLIENTS</v>
      </c>
      <c r="N244" s="152">
        <f>+IF(OR($Q244=Parametres!$G$2,$Q244=Parametres!$G$3),I244,C244)</f>
        <v>-3204</v>
      </c>
      <c r="O244" s="152">
        <f>+IF(OR($Q244=Parametres!$G$2,$Q244=Parametres!$G$3),J244,D244)</f>
        <v>-514</v>
      </c>
      <c r="P244" s="152">
        <f>+IF(OR($Q244=Parametres!$G$2,$Q244=Parametres!$G$3),K244,E244)</f>
        <v>-3718</v>
      </c>
      <c r="Q244" s="151" t="str">
        <f t="shared" si="17"/>
        <v>10-Compte compteur</v>
      </c>
      <c r="R244" s="150" t="str">
        <f t="shared" si="17"/>
        <v>4701</v>
      </c>
      <c r="S244" s="151">
        <f t="shared" si="17"/>
        <v>0</v>
      </c>
      <c r="T244" s="153" t="str">
        <f>+VLOOKUP($L244,Data_Validation!$A:$D,1,0)</f>
        <v>4701@</v>
      </c>
      <c r="U244" s="153" t="str">
        <f>+VLOOKUP($L244,Data_Validation!$A:$D,3,0)</f>
        <v>Pièces</v>
      </c>
      <c r="V244" s="153" t="str">
        <f>+VLOOKUP($L244,Data_Validation!$A:$D,4,0)</f>
        <v>Pièces Ro Clients</v>
      </c>
      <c r="W244" s="153" t="str">
        <f>+VLOOKUP($L244,Data_Validation!$A:$E,5,0)</f>
        <v>NB</v>
      </c>
      <c r="X244" s="153">
        <f>+VLOOKUP($L244,Data_Validation!$A:$F,6,0)</f>
        <v>0</v>
      </c>
    </row>
    <row r="245" spans="1:24" ht="15" customHeight="1">
      <c r="A245" s="1430" t="s">
        <v>2143</v>
      </c>
      <c r="B245" s="1433">
        <v>4702</v>
      </c>
      <c r="C245" s="1432">
        <v>-4670.78</v>
      </c>
      <c r="D245" s="1432">
        <v>-1019.7</v>
      </c>
      <c r="E245" s="1432">
        <v>-5690.48</v>
      </c>
      <c r="F245" s="1430" t="s">
        <v>282</v>
      </c>
      <c r="G245" s="1430" t="s">
        <v>2144</v>
      </c>
      <c r="H245" s="1431"/>
      <c r="I245" s="1431"/>
      <c r="J245" s="1431"/>
      <c r="K245" s="1431"/>
      <c r="L245" s="150">
        <f t="shared" si="0"/>
        <v>4702</v>
      </c>
      <c r="M245" s="151" t="str">
        <f t="shared" si="1"/>
        <v>VTE - SHOP SUPPLY VW</v>
      </c>
      <c r="N245" s="152">
        <f>+IF(OR($Q245=Parametres!$G$2,$Q245=Parametres!$G$3),I245,C245)</f>
        <v>-4670.78</v>
      </c>
      <c r="O245" s="152">
        <f>+IF(OR($Q245=Parametres!$G$2,$Q245=Parametres!$G$3),J245,D245)</f>
        <v>-1019.7</v>
      </c>
      <c r="P245" s="152">
        <f>+IF(OR($Q245=Parametres!$G$2,$Q245=Parametres!$G$3),K245,E245)</f>
        <v>-5690.48</v>
      </c>
      <c r="Q245" s="151" t="str">
        <f t="shared" si="17"/>
        <v>5-Ventes</v>
      </c>
      <c r="R245" s="150" t="str">
        <f t="shared" si="17"/>
        <v>4702</v>
      </c>
      <c r="S245" s="151">
        <f t="shared" si="17"/>
        <v>0</v>
      </c>
      <c r="T245" s="153">
        <f>+VLOOKUP($L245,Data_Validation!$A:$D,1,0)</f>
        <v>4702</v>
      </c>
      <c r="U245" s="153" t="str">
        <f>+VLOOKUP($L245,Data_Validation!$A:$D,3,0)</f>
        <v>Service</v>
      </c>
      <c r="V245" s="153" t="str">
        <f>+VLOOKUP($L245,Data_Validation!$A:$D,4,0)</f>
        <v>M/O Client</v>
      </c>
      <c r="W245" s="153" t="str">
        <f>+VLOOKUP($L245,Data_Validation!$A:$E,5,0)</f>
        <v>$</v>
      </c>
      <c r="X245" s="153" t="str">
        <f>+VLOOKUP($L245,Data_Validation!$A:$F,6,0)</f>
        <v>Oui</v>
      </c>
    </row>
    <row r="246" spans="1:24" ht="15" customHeight="1">
      <c r="A246" s="1430" t="s">
        <v>2036</v>
      </c>
      <c r="B246" s="1433">
        <v>4703</v>
      </c>
      <c r="C246" s="1432">
        <v>-685364.17</v>
      </c>
      <c r="D246" s="1432">
        <v>-47989.56</v>
      </c>
      <c r="E246" s="1432">
        <v>-733353.73</v>
      </c>
      <c r="F246" s="1430" t="s">
        <v>282</v>
      </c>
      <c r="G246" s="1430" t="s">
        <v>2037</v>
      </c>
      <c r="H246" s="1431"/>
      <c r="I246" s="1431"/>
      <c r="J246" s="1431"/>
      <c r="K246" s="1431"/>
      <c r="L246" s="150">
        <f t="shared" si="0"/>
        <v>4703</v>
      </c>
      <c r="M246" s="151" t="str">
        <f t="shared" si="1"/>
        <v>VTE - PIECE/ACC B.R. GARANTIE VW</v>
      </c>
      <c r="N246" s="152">
        <f>+IF(OR($Q246=Parametres!$G$2,$Q246=Parametres!$G$3),I246,C246)</f>
        <v>-685364.17</v>
      </c>
      <c r="O246" s="152">
        <f>+IF(OR($Q246=Parametres!$G$2,$Q246=Parametres!$G$3),J246,D246)</f>
        <v>-47989.56</v>
      </c>
      <c r="P246" s="152">
        <f>+IF(OR($Q246=Parametres!$G$2,$Q246=Parametres!$G$3),K246,E246)</f>
        <v>-733353.73</v>
      </c>
      <c r="Q246" s="151" t="str">
        <f t="shared" si="17"/>
        <v>5-Ventes</v>
      </c>
      <c r="R246" s="150" t="str">
        <f t="shared" si="17"/>
        <v>4703</v>
      </c>
      <c r="S246" s="151">
        <f t="shared" si="17"/>
        <v>0</v>
      </c>
      <c r="T246" s="153">
        <f>+VLOOKUP($L246,Data_Validation!$A:$D,1,0)</f>
        <v>4703</v>
      </c>
      <c r="U246" s="153" t="str">
        <f>+VLOOKUP($L246,Data_Validation!$A:$D,3,0)</f>
        <v>Pièces</v>
      </c>
      <c r="V246" s="153" t="str">
        <f>+VLOOKUP($L246,Data_Validation!$A:$D,4,0)</f>
        <v>P/A Garantie</v>
      </c>
      <c r="W246" s="153" t="str">
        <f>+VLOOKUP($L246,Data_Validation!$A:$E,5,0)</f>
        <v>$</v>
      </c>
      <c r="X246" s="153" t="str">
        <f>+VLOOKUP($L246,Data_Validation!$A:$F,6,0)</f>
        <v>Oui</v>
      </c>
    </row>
    <row r="247" spans="1:24" ht="15.75" customHeight="1">
      <c r="A247" s="1430" t="s">
        <v>2531</v>
      </c>
      <c r="B247" s="1430" t="s">
        <v>2532</v>
      </c>
      <c r="C247" s="1431"/>
      <c r="D247" s="1431"/>
      <c r="E247" s="1431"/>
      <c r="F247" s="1430" t="s">
        <v>4</v>
      </c>
      <c r="G247" s="1430" t="s">
        <v>2037</v>
      </c>
      <c r="H247" s="1431"/>
      <c r="I247" s="1432">
        <v>-1654</v>
      </c>
      <c r="J247" s="1432">
        <v>-189</v>
      </c>
      <c r="K247" s="1432">
        <v>-1843</v>
      </c>
      <c r="L247" s="150" t="str">
        <f t="shared" si="0"/>
        <v>4703@</v>
      </c>
      <c r="M247" s="151" t="str">
        <f t="shared" si="1"/>
        <v>PIECES-BON REPARATION-GAR. MAN</v>
      </c>
      <c r="N247" s="152">
        <f>+IF(OR($Q247=Parametres!$G$2,$Q247=Parametres!$G$3),I247,C247)</f>
        <v>-1654</v>
      </c>
      <c r="O247" s="152">
        <f>+IF(OR($Q247=Parametres!$G$2,$Q247=Parametres!$G$3),J247,D247)</f>
        <v>-189</v>
      </c>
      <c r="P247" s="152">
        <f>+IF(OR($Q247=Parametres!$G$2,$Q247=Parametres!$G$3),K247,E247)</f>
        <v>-1843</v>
      </c>
      <c r="Q247" s="151" t="str">
        <f t="shared" si="17"/>
        <v>10-Compte compteur</v>
      </c>
      <c r="R247" s="150" t="str">
        <f t="shared" si="17"/>
        <v>4703</v>
      </c>
      <c r="S247" s="151">
        <f t="shared" si="17"/>
        <v>0</v>
      </c>
      <c r="T247" s="153" t="str">
        <f>+VLOOKUP($L247,Data_Validation!$A:$D,1,0)</f>
        <v>4703@</v>
      </c>
      <c r="U247" s="153" t="str">
        <f>+VLOOKUP($L247,Data_Validation!$A:$D,3,0)</f>
        <v>Pièces</v>
      </c>
      <c r="V247" s="153" t="str">
        <f>+VLOOKUP($L247,Data_Validation!$A:$D,4,0)</f>
        <v>P/A Garantie</v>
      </c>
      <c r="W247" s="153" t="str">
        <f>+VLOOKUP($L247,Data_Validation!$A:$E,5,0)</f>
        <v>NB</v>
      </c>
      <c r="X247" s="153">
        <f>+VLOOKUP($L247,Data_Validation!$A:$F,6,0)</f>
        <v>0</v>
      </c>
    </row>
    <row r="248" spans="1:24" ht="15" customHeight="1">
      <c r="A248" s="1430" t="s">
        <v>2040</v>
      </c>
      <c r="B248" s="1433">
        <v>4705</v>
      </c>
      <c r="C248" s="1432">
        <v>-458792.16</v>
      </c>
      <c r="D248" s="1432">
        <v>-56872.639999999999</v>
      </c>
      <c r="E248" s="1432">
        <v>-515664.8</v>
      </c>
      <c r="F248" s="1430" t="s">
        <v>282</v>
      </c>
      <c r="G248" s="1430" t="s">
        <v>2041</v>
      </c>
      <c r="H248" s="1431"/>
      <c r="I248" s="1431"/>
      <c r="J248" s="1431"/>
      <c r="K248" s="1431"/>
      <c r="L248" s="150">
        <f t="shared" si="0"/>
        <v>4705</v>
      </c>
      <c r="M248" s="151" t="str">
        <f t="shared" si="1"/>
        <v>VTE - PIECE/ACC B.R. INTERNE VW</v>
      </c>
      <c r="N248" s="152">
        <f>+IF(OR($Q248=Parametres!$G$2,$Q248=Parametres!$G$3),I248,C248)</f>
        <v>-458792.16</v>
      </c>
      <c r="O248" s="152">
        <f>+IF(OR($Q248=Parametres!$G$2,$Q248=Parametres!$G$3),J248,D248)</f>
        <v>-56872.639999999999</v>
      </c>
      <c r="P248" s="152">
        <f>+IF(OR($Q248=Parametres!$G$2,$Q248=Parametres!$G$3),K248,E248)</f>
        <v>-515664.8</v>
      </c>
      <c r="Q248" s="151" t="str">
        <f t="shared" si="17"/>
        <v>5-Ventes</v>
      </c>
      <c r="R248" s="150" t="str">
        <f t="shared" si="17"/>
        <v>4705</v>
      </c>
      <c r="S248" s="151">
        <f t="shared" si="17"/>
        <v>0</v>
      </c>
      <c r="T248" s="153">
        <f>+VLOOKUP($L248,Data_Validation!$A:$D,1,0)</f>
        <v>4705</v>
      </c>
      <c r="U248" s="153" t="str">
        <f>+VLOOKUP($L248,Data_Validation!$A:$D,3,0)</f>
        <v>Pièces</v>
      </c>
      <c r="V248" s="153" t="str">
        <f>+VLOOKUP($L248,Data_Validation!$A:$D,4,0)</f>
        <v>Ventes Internes</v>
      </c>
      <c r="W248" s="153" t="str">
        <f>+VLOOKUP($L248,Data_Validation!$A:$E,5,0)</f>
        <v>$</v>
      </c>
      <c r="X248" s="153" t="str">
        <f>+VLOOKUP($L248,Data_Validation!$A:$F,6,0)</f>
        <v>Oui</v>
      </c>
    </row>
    <row r="249" spans="1:24" ht="15" customHeight="1">
      <c r="A249" s="1430" t="s">
        <v>2533</v>
      </c>
      <c r="B249" s="1430" t="s">
        <v>2534</v>
      </c>
      <c r="C249" s="1431"/>
      <c r="D249" s="1431"/>
      <c r="E249" s="1431"/>
      <c r="F249" s="1430" t="s">
        <v>4</v>
      </c>
      <c r="G249" s="1430" t="s">
        <v>2041</v>
      </c>
      <c r="H249" s="1431"/>
      <c r="I249" s="1432">
        <v>-2472</v>
      </c>
      <c r="J249" s="1432">
        <v>-255</v>
      </c>
      <c r="K249" s="1432">
        <v>-2727</v>
      </c>
      <c r="L249" s="150" t="str">
        <f t="shared" si="0"/>
        <v>4705@</v>
      </c>
      <c r="M249" s="151" t="str">
        <f t="shared" si="1"/>
        <v>PIECES-BON REPARATION - INTERN</v>
      </c>
      <c r="N249" s="152">
        <f>+IF(OR($Q249=Parametres!$G$2,$Q249=Parametres!$G$3),I249,C249)</f>
        <v>-2472</v>
      </c>
      <c r="O249" s="152">
        <f>+IF(OR($Q249=Parametres!$G$2,$Q249=Parametres!$G$3),J249,D249)</f>
        <v>-255</v>
      </c>
      <c r="P249" s="152">
        <f>+IF(OR($Q249=Parametres!$G$2,$Q249=Parametres!$G$3),K249,E249)</f>
        <v>-2727</v>
      </c>
      <c r="Q249" s="151" t="str">
        <f t="shared" si="17"/>
        <v>10-Compte compteur</v>
      </c>
      <c r="R249" s="150" t="str">
        <f t="shared" si="17"/>
        <v>4705</v>
      </c>
      <c r="S249" s="151">
        <f t="shared" si="17"/>
        <v>0</v>
      </c>
      <c r="T249" s="153" t="str">
        <f>+VLOOKUP($L249,Data_Validation!$A:$D,1,0)</f>
        <v>4705@</v>
      </c>
      <c r="U249" s="153" t="str">
        <f>+VLOOKUP($L249,Data_Validation!$A:$D,3,0)</f>
        <v>Pièces</v>
      </c>
      <c r="V249" s="153" t="str">
        <f>+VLOOKUP($L249,Data_Validation!$A:$D,4,0)</f>
        <v>Ventes Internes</v>
      </c>
      <c r="W249" s="153" t="str">
        <f>+VLOOKUP($L249,Data_Validation!$A:$E,5,0)</f>
        <v>NB</v>
      </c>
      <c r="X249" s="153">
        <f>+VLOOKUP($L249,Data_Validation!$A:$F,6,0)</f>
        <v>0</v>
      </c>
    </row>
    <row r="250" spans="1:24" ht="15" customHeight="1">
      <c r="A250" s="1430" t="s">
        <v>2143</v>
      </c>
      <c r="B250" s="1433">
        <v>4706</v>
      </c>
      <c r="C250" s="1432">
        <v>-5666.51</v>
      </c>
      <c r="D250" s="1432">
        <v>-900.63</v>
      </c>
      <c r="E250" s="1432">
        <v>-6567.14</v>
      </c>
      <c r="F250" s="1430" t="s">
        <v>282</v>
      </c>
      <c r="G250" s="1430" t="s">
        <v>2162</v>
      </c>
      <c r="H250" s="1431"/>
      <c r="I250" s="1431"/>
      <c r="J250" s="1431"/>
      <c r="K250" s="1431"/>
      <c r="L250" s="150">
        <f t="shared" si="0"/>
        <v>4706</v>
      </c>
      <c r="M250" s="151" t="str">
        <f t="shared" si="1"/>
        <v>VTE - SHOP SUPPLY VW</v>
      </c>
      <c r="N250" s="152">
        <f>+IF(OR($Q250=Parametres!$G$2,$Q250=Parametres!$G$3),I250,C250)</f>
        <v>-5666.51</v>
      </c>
      <c r="O250" s="152">
        <f>+IF(OR($Q250=Parametres!$G$2,$Q250=Parametres!$G$3),J250,D250)</f>
        <v>-900.63</v>
      </c>
      <c r="P250" s="152">
        <f>+IF(OR($Q250=Parametres!$G$2,$Q250=Parametres!$G$3),K250,E250)</f>
        <v>-6567.14</v>
      </c>
      <c r="Q250" s="151" t="str">
        <f t="shared" si="17"/>
        <v>5-Ventes</v>
      </c>
      <c r="R250" s="150" t="str">
        <f t="shared" si="17"/>
        <v>4706</v>
      </c>
      <c r="S250" s="151">
        <f t="shared" si="17"/>
        <v>0</v>
      </c>
      <c r="T250" s="153">
        <f>+VLOOKUP($L250,Data_Validation!$A:$D,1,0)</f>
        <v>4706</v>
      </c>
      <c r="U250" s="153" t="str">
        <f>+VLOOKUP($L250,Data_Validation!$A:$D,3,0)</f>
        <v>Service</v>
      </c>
      <c r="V250" s="153" t="str">
        <f>+VLOOKUP($L250,Data_Validation!$A:$D,4,0)</f>
        <v>M/O Interne</v>
      </c>
      <c r="W250" s="153" t="str">
        <f>+VLOOKUP($L250,Data_Validation!$A:$E,5,0)</f>
        <v>$</v>
      </c>
      <c r="X250" s="153" t="str">
        <f>+VLOOKUP($L250,Data_Validation!$A:$F,6,0)</f>
        <v>Oui</v>
      </c>
    </row>
    <row r="251" spans="1:24" ht="15" customHeight="1">
      <c r="A251" s="1430" t="s">
        <v>2107</v>
      </c>
      <c r="B251" s="1433">
        <v>4711</v>
      </c>
      <c r="C251" s="1432">
        <v>-34383.599999999999</v>
      </c>
      <c r="D251" s="1432">
        <v>-6195.58</v>
      </c>
      <c r="E251" s="1432">
        <v>-40579.18</v>
      </c>
      <c r="F251" s="1430" t="s">
        <v>282</v>
      </c>
      <c r="G251" s="1430" t="s">
        <v>332</v>
      </c>
      <c r="H251" s="1431"/>
      <c r="I251" s="1431"/>
      <c r="J251" s="1431"/>
      <c r="K251" s="1431"/>
      <c r="L251" s="150">
        <f t="shared" si="0"/>
        <v>4711</v>
      </c>
      <c r="M251" s="151" t="str">
        <f t="shared" si="1"/>
        <v>VTE - AUTRE PIECE/ACC/CARR B.R. CLIENT</v>
      </c>
      <c r="N251" s="152">
        <f>+IF(OR($Q251=Parametres!$G$2,$Q251=Parametres!$G$3),I251,C251)</f>
        <v>-34383.599999999999</v>
      </c>
      <c r="O251" s="152">
        <f>+IF(OR($Q251=Parametres!$G$2,$Q251=Parametres!$G$3),J251,D251)</f>
        <v>-6195.58</v>
      </c>
      <c r="P251" s="152">
        <f>+IF(OR($Q251=Parametres!$G$2,$Q251=Parametres!$G$3),K251,E251)</f>
        <v>-40579.18</v>
      </c>
      <c r="Q251" s="151" t="str">
        <f t="shared" si="17"/>
        <v>5-Ventes</v>
      </c>
      <c r="R251" s="150" t="str">
        <f t="shared" si="17"/>
        <v>84711</v>
      </c>
      <c r="S251" s="151">
        <f t="shared" si="17"/>
        <v>0</v>
      </c>
      <c r="T251" s="153">
        <f>+VLOOKUP($L251,Data_Validation!$A:$D,1,0)</f>
        <v>4711</v>
      </c>
      <c r="U251" s="153" t="str">
        <f>+VLOOKUP($L251,Data_Validation!$A:$D,3,0)</f>
        <v>Pièces</v>
      </c>
      <c r="V251" s="153" t="str">
        <f>+VLOOKUP($L251,Data_Validation!$A:$D,4,0)</f>
        <v>Pièces Ro Clients</v>
      </c>
      <c r="W251" s="153" t="str">
        <f>+VLOOKUP($L251,Data_Validation!$A:$E,5,0)</f>
        <v>$</v>
      </c>
      <c r="X251" s="153" t="str">
        <f>+VLOOKUP($L251,Data_Validation!$A:$F,6,0)</f>
        <v>Oui</v>
      </c>
    </row>
    <row r="252" spans="1:24" ht="15.75" customHeight="1">
      <c r="A252" s="1430" t="s">
        <v>2535</v>
      </c>
      <c r="B252" s="1430" t="s">
        <v>2536</v>
      </c>
      <c r="C252" s="1431"/>
      <c r="D252" s="1431"/>
      <c r="E252" s="1431"/>
      <c r="F252" s="1430" t="s">
        <v>4</v>
      </c>
      <c r="G252" s="1430" t="s">
        <v>332</v>
      </c>
      <c r="H252" s="1431"/>
      <c r="I252" s="1432">
        <v>-1090</v>
      </c>
      <c r="J252" s="1432">
        <v>-178</v>
      </c>
      <c r="K252" s="1432">
        <v>-1268</v>
      </c>
      <c r="L252" s="150" t="str">
        <f t="shared" si="0"/>
        <v>4711@</v>
      </c>
      <c r="M252" s="151" t="str">
        <f t="shared" si="1"/>
        <v># DE VTE - P&amp;A B.T. CLIENT AUDI</v>
      </c>
      <c r="N252" s="152">
        <f>+IF(OR($Q252=Parametres!$G$2,$Q252=Parametres!$G$3),I252,C252)</f>
        <v>-1090</v>
      </c>
      <c r="O252" s="152">
        <f>+IF(OR($Q252=Parametres!$G$2,$Q252=Parametres!$G$3),J252,D252)</f>
        <v>-178</v>
      </c>
      <c r="P252" s="152">
        <f>+IF(OR($Q252=Parametres!$G$2,$Q252=Parametres!$G$3),K252,E252)</f>
        <v>-1268</v>
      </c>
      <c r="Q252" s="151" t="str">
        <f t="shared" si="17"/>
        <v>10-Compte compteur</v>
      </c>
      <c r="R252" s="150" t="str">
        <f t="shared" si="17"/>
        <v>84711</v>
      </c>
      <c r="S252" s="151">
        <f t="shared" si="17"/>
        <v>0</v>
      </c>
      <c r="T252" s="153" t="str">
        <f>+VLOOKUP($L252,Data_Validation!$A:$D,1,0)</f>
        <v>4711@</v>
      </c>
      <c r="U252" s="153" t="str">
        <f>+VLOOKUP($L252,Data_Validation!$A:$D,3,0)</f>
        <v>Pièces</v>
      </c>
      <c r="V252" s="153" t="str">
        <f>+VLOOKUP($L252,Data_Validation!$A:$D,4,0)</f>
        <v>Pièces Ro Clients</v>
      </c>
      <c r="W252" s="153" t="str">
        <f>+VLOOKUP($L252,Data_Validation!$A:$E,5,0)</f>
        <v>NB</v>
      </c>
      <c r="X252" s="153">
        <f>+VLOOKUP($L252,Data_Validation!$A:$F,6,0)</f>
        <v>0</v>
      </c>
    </row>
    <row r="253" spans="1:24" ht="15" customHeight="1">
      <c r="A253" s="1430" t="s">
        <v>2914</v>
      </c>
      <c r="B253" s="1433">
        <v>4715</v>
      </c>
      <c r="C253" s="1432">
        <v>16</v>
      </c>
      <c r="D253" s="1432">
        <v>0</v>
      </c>
      <c r="E253" s="1432">
        <v>16</v>
      </c>
      <c r="F253" s="1430" t="s">
        <v>282</v>
      </c>
      <c r="G253" s="1430" t="s">
        <v>3612</v>
      </c>
      <c r="H253" s="1431"/>
      <c r="I253" s="1431"/>
      <c r="J253" s="1431"/>
      <c r="K253" s="1431"/>
      <c r="L253" s="150">
        <f t="shared" si="0"/>
        <v>4715</v>
      </c>
      <c r="M253" s="151" t="str">
        <f t="shared" si="1"/>
        <v>VTE - AUTRE PIECE/ACC/CARR B.R. INTERNE</v>
      </c>
      <c r="N253" s="152">
        <f>+IF(OR($Q253=Parametres!$G$2,$Q253=Parametres!$G$3),I253,C253)</f>
        <v>16</v>
      </c>
      <c r="O253" s="152">
        <f>+IF(OR($Q253=Parametres!$G$2,$Q253=Parametres!$G$3),J253,D253)</f>
        <v>0</v>
      </c>
      <c r="P253" s="152">
        <f>+IF(OR($Q253=Parametres!$G$2,$Q253=Parametres!$G$3),K253,E253)</f>
        <v>16</v>
      </c>
      <c r="Q253" s="151" t="str">
        <f t="shared" si="17"/>
        <v>5-Ventes</v>
      </c>
      <c r="R253" s="150" t="str">
        <f t="shared" si="17"/>
        <v>4715</v>
      </c>
      <c r="S253" s="151">
        <f t="shared" si="17"/>
        <v>0</v>
      </c>
      <c r="T253" s="153">
        <f>+VLOOKUP($L253,Data_Validation!$A:$D,1,0)</f>
        <v>4715</v>
      </c>
      <c r="U253" s="153" t="str">
        <f>+VLOOKUP($L253,Data_Validation!$A:$D,3,0)</f>
        <v>Pièces</v>
      </c>
      <c r="V253" s="153" t="str">
        <f>+VLOOKUP($L253,Data_Validation!$A:$D,4,0)</f>
        <v>Ventes Internes</v>
      </c>
      <c r="W253" s="153" t="str">
        <f>+VLOOKUP($L253,Data_Validation!$A:$E,5,0)</f>
        <v>$</v>
      </c>
      <c r="X253" s="153" t="str">
        <f>+VLOOKUP($L253,Data_Validation!$A:$F,6,0)</f>
        <v>Oui</v>
      </c>
    </row>
    <row r="254" spans="1:24" ht="15" customHeight="1">
      <c r="A254" s="1430" t="s">
        <v>2915</v>
      </c>
      <c r="B254" s="1430" t="s">
        <v>2916</v>
      </c>
      <c r="C254" s="1431"/>
      <c r="D254" s="1431"/>
      <c r="E254" s="1431"/>
      <c r="F254" s="1430" t="s">
        <v>4</v>
      </c>
      <c r="G254" s="1430" t="s">
        <v>341</v>
      </c>
      <c r="H254" s="1431"/>
      <c r="I254" s="1432">
        <v>1</v>
      </c>
      <c r="J254" s="1432">
        <v>0</v>
      </c>
      <c r="K254" s="1432">
        <v>1</v>
      </c>
      <c r="L254" s="150" t="str">
        <f t="shared" si="0"/>
        <v>4715@</v>
      </c>
      <c r="M254" s="151" t="str">
        <f t="shared" si="1"/>
        <v># DE VTE - P&amp;A B.T. INTERNE AUDI</v>
      </c>
      <c r="N254" s="152">
        <f>+IF(OR($Q254=Parametres!$G$2,$Q254=Parametres!$G$3),I254,C254)</f>
        <v>1</v>
      </c>
      <c r="O254" s="152">
        <f>+IF(OR($Q254=Parametres!$G$2,$Q254=Parametres!$G$3),J254,D254)</f>
        <v>0</v>
      </c>
      <c r="P254" s="152">
        <f>+IF(OR($Q254=Parametres!$G$2,$Q254=Parametres!$G$3),K254,E254)</f>
        <v>1</v>
      </c>
      <c r="Q254" s="151" t="str">
        <f t="shared" si="17"/>
        <v>10-Compte compteur</v>
      </c>
      <c r="R254" s="150" t="str">
        <f t="shared" si="17"/>
        <v>84715</v>
      </c>
      <c r="S254" s="151">
        <f t="shared" si="17"/>
        <v>0</v>
      </c>
      <c r="T254" s="153" t="str">
        <f>+VLOOKUP($L254,Data_Validation!$A:$D,1,0)</f>
        <v>4715@</v>
      </c>
      <c r="U254" s="153" t="str">
        <f>+VLOOKUP($L254,Data_Validation!$A:$D,3,0)</f>
        <v>Pièces</v>
      </c>
      <c r="V254" s="153" t="str">
        <f>+VLOOKUP($L254,Data_Validation!$A:$D,4,0)</f>
        <v>Ventes Internes</v>
      </c>
      <c r="W254" s="153" t="str">
        <f>+VLOOKUP($L254,Data_Validation!$A:$E,5,0)</f>
        <v>NB</v>
      </c>
      <c r="X254" s="153">
        <f>+VLOOKUP($L254,Data_Validation!$A:$F,6,0)</f>
        <v>0</v>
      </c>
    </row>
    <row r="255" spans="1:24" ht="15" customHeight="1">
      <c r="A255" s="1430" t="s">
        <v>2100</v>
      </c>
      <c r="B255" s="1433">
        <v>4731</v>
      </c>
      <c r="C255" s="1432">
        <v>-62640.03</v>
      </c>
      <c r="D255" s="1432">
        <v>-22689.68</v>
      </c>
      <c r="E255" s="1432">
        <v>-85329.71</v>
      </c>
      <c r="F255" s="1430" t="s">
        <v>282</v>
      </c>
      <c r="G255" s="1430" t="s">
        <v>2101</v>
      </c>
      <c r="H255" s="1431"/>
      <c r="I255" s="1431"/>
      <c r="J255" s="1431"/>
      <c r="K255" s="1431"/>
      <c r="L255" s="150">
        <f t="shared" si="0"/>
        <v>4731</v>
      </c>
      <c r="M255" s="151" t="str">
        <f t="shared" si="1"/>
        <v>VTE - PIECES-BON REPAR.-PEINT/DEBOS</v>
      </c>
      <c r="N255" s="152">
        <f>+IF(OR($Q255=Parametres!$G$2,$Q255=Parametres!$G$3),I255,C255)</f>
        <v>-62640.03</v>
      </c>
      <c r="O255" s="152">
        <f>+IF(OR($Q255=Parametres!$G$2,$Q255=Parametres!$G$3),J255,D255)</f>
        <v>-22689.68</v>
      </c>
      <c r="P255" s="152">
        <f>+IF(OR($Q255=Parametres!$G$2,$Q255=Parametres!$G$3),K255,E255)</f>
        <v>-85329.71</v>
      </c>
      <c r="Q255" s="151" t="str">
        <f t="shared" si="17"/>
        <v>5-Ventes</v>
      </c>
      <c r="R255" s="150" t="str">
        <f t="shared" si="17"/>
        <v>4731</v>
      </c>
      <c r="S255" s="151">
        <f t="shared" si="17"/>
        <v>0</v>
      </c>
      <c r="T255" s="153">
        <f>+VLOOKUP($L255,Data_Validation!$A:$D,1,0)</f>
        <v>4731</v>
      </c>
      <c r="U255" s="153" t="str">
        <f>+VLOOKUP($L255,Data_Validation!$A:$D,3,0)</f>
        <v>Pièces</v>
      </c>
      <c r="V255" s="153" t="str">
        <f>+VLOOKUP($L255,Data_Validation!$A:$D,4,0)</f>
        <v>Pièces Ro Carrosserie</v>
      </c>
      <c r="W255" s="153" t="str">
        <f>+VLOOKUP($L255,Data_Validation!$A:$E,5,0)</f>
        <v>$</v>
      </c>
      <c r="X255" s="153" t="str">
        <f>+VLOOKUP($L255,Data_Validation!$A:$F,6,0)</f>
        <v>Oui</v>
      </c>
    </row>
    <row r="256" spans="1:24" ht="15.75" customHeight="1">
      <c r="A256" s="1430" t="s">
        <v>2539</v>
      </c>
      <c r="B256" s="1430" t="s">
        <v>2540</v>
      </c>
      <c r="C256" s="1431"/>
      <c r="D256" s="1431"/>
      <c r="E256" s="1431"/>
      <c r="F256" s="1430" t="s">
        <v>4</v>
      </c>
      <c r="G256" s="1430" t="s">
        <v>2101</v>
      </c>
      <c r="H256" s="1431"/>
      <c r="I256" s="1432">
        <v>-89</v>
      </c>
      <c r="J256" s="1432">
        <v>-10</v>
      </c>
      <c r="K256" s="1432">
        <v>-99</v>
      </c>
      <c r="L256" s="150" t="str">
        <f t="shared" si="0"/>
        <v>4731@</v>
      </c>
      <c r="M256" s="151" t="str">
        <f t="shared" si="1"/>
        <v>PIECES-BON REPAR. PEINT/DEBOS</v>
      </c>
      <c r="N256" s="152">
        <f>+IF(OR($Q256=Parametres!$G$2,$Q256=Parametres!$G$3),I256,C256)</f>
        <v>-89</v>
      </c>
      <c r="O256" s="152">
        <f>+IF(OR($Q256=Parametres!$G$2,$Q256=Parametres!$G$3),J256,D256)</f>
        <v>-10</v>
      </c>
      <c r="P256" s="152">
        <f>+IF(OR($Q256=Parametres!$G$2,$Q256=Parametres!$G$3),K256,E256)</f>
        <v>-99</v>
      </c>
      <c r="Q256" s="151" t="str">
        <f t="shared" si="17"/>
        <v>10-Compte compteur</v>
      </c>
      <c r="R256" s="150" t="str">
        <f t="shared" si="17"/>
        <v>4731</v>
      </c>
      <c r="S256" s="151">
        <f t="shared" si="17"/>
        <v>0</v>
      </c>
      <c r="T256" s="153" t="str">
        <f>+VLOOKUP($L256,Data_Validation!$A:$D,1,0)</f>
        <v>4731@</v>
      </c>
      <c r="U256" s="153" t="str">
        <f>+VLOOKUP($L256,Data_Validation!$A:$D,3,0)</f>
        <v>Pièces</v>
      </c>
      <c r="V256" s="153" t="str">
        <f>+VLOOKUP($L256,Data_Validation!$A:$D,4,0)</f>
        <v>Pièces Ro Carrosserie</v>
      </c>
      <c r="W256" s="153" t="str">
        <f>+VLOOKUP($L256,Data_Validation!$A:$E,5,0)</f>
        <v>NB</v>
      </c>
      <c r="X256" s="153">
        <f>+VLOOKUP($L256,Data_Validation!$A:$F,6,0)</f>
        <v>0</v>
      </c>
    </row>
    <row r="257" spans="1:24" ht="15" customHeight="1">
      <c r="A257" s="1430" t="s">
        <v>2083</v>
      </c>
      <c r="B257" s="1433">
        <v>4733</v>
      </c>
      <c r="C257" s="1432">
        <v>-305214</v>
      </c>
      <c r="D257" s="1432">
        <v>-44866.74</v>
      </c>
      <c r="E257" s="1432">
        <v>-350080.74</v>
      </c>
      <c r="F257" s="1430" t="s">
        <v>282</v>
      </c>
      <c r="G257" s="1430" t="s">
        <v>2084</v>
      </c>
      <c r="H257" s="1431"/>
      <c r="I257" s="1431"/>
      <c r="J257" s="1431"/>
      <c r="K257" s="1431"/>
      <c r="L257" s="150">
        <f t="shared" ref="L257:L511" si="18">+B257</f>
        <v>4733</v>
      </c>
      <c r="M257" s="151" t="str">
        <f t="shared" ref="M257:M511" si="19">+A257</f>
        <v>VTE - P&amp;A B.T. GARANTIE CAR.</v>
      </c>
      <c r="N257" s="152">
        <f>+IF(OR($Q257=Parametres!$G$2,$Q257=Parametres!$G$3),I257,C257)</f>
        <v>-305214</v>
      </c>
      <c r="O257" s="152">
        <f>+IF(OR($Q257=Parametres!$G$2,$Q257=Parametres!$G$3),J257,D257)</f>
        <v>-44866.74</v>
      </c>
      <c r="P257" s="152">
        <f>+IF(OR($Q257=Parametres!$G$2,$Q257=Parametres!$G$3),K257,E257)</f>
        <v>-350080.74</v>
      </c>
      <c r="Q257" s="151" t="str">
        <f t="shared" si="17"/>
        <v>5-Ventes</v>
      </c>
      <c r="R257" s="150" t="str">
        <f t="shared" si="17"/>
        <v>4733</v>
      </c>
      <c r="S257" s="151">
        <f t="shared" si="17"/>
        <v>0</v>
      </c>
      <c r="T257" s="153">
        <f>+VLOOKUP($L257,Data_Validation!$A:$D,1,0)</f>
        <v>4733</v>
      </c>
      <c r="U257" s="153" t="str">
        <f>+VLOOKUP($L257,Data_Validation!$A:$D,3,0)</f>
        <v>Pièces</v>
      </c>
      <c r="V257" s="153" t="str">
        <f>+VLOOKUP($L257,Data_Validation!$A:$D,4,0)</f>
        <v>Pièces Ro Carrosserie</v>
      </c>
      <c r="W257" s="153" t="str">
        <f>+VLOOKUP($L257,Data_Validation!$A:$E,5,0)</f>
        <v>$</v>
      </c>
      <c r="X257" s="153" t="str">
        <f>+VLOOKUP($L257,Data_Validation!$A:$F,6,0)</f>
        <v>Oui</v>
      </c>
    </row>
    <row r="258" spans="1:24" ht="15" customHeight="1">
      <c r="A258" s="1430" t="s">
        <v>2541</v>
      </c>
      <c r="B258" s="1430" t="s">
        <v>2542</v>
      </c>
      <c r="C258" s="1431"/>
      <c r="D258" s="1431"/>
      <c r="E258" s="1431"/>
      <c r="F258" s="1430" t="s">
        <v>4</v>
      </c>
      <c r="G258" s="1430" t="s">
        <v>2084</v>
      </c>
      <c r="H258" s="1431"/>
      <c r="I258" s="1432">
        <v>-161</v>
      </c>
      <c r="J258" s="1432">
        <v>-19</v>
      </c>
      <c r="K258" s="1432">
        <v>-180</v>
      </c>
      <c r="L258" s="150" t="str">
        <f t="shared" si="18"/>
        <v>4733@</v>
      </c>
      <c r="M258" s="151" t="str">
        <f t="shared" si="19"/>
        <v># DE VTE - P&amp;A B.T. GARANTIE CARR.</v>
      </c>
      <c r="N258" s="152">
        <f>+IF(OR($Q258=Parametres!$G$2,$Q258=Parametres!$G$3),I258,C258)</f>
        <v>-161</v>
      </c>
      <c r="O258" s="152">
        <f>+IF(OR($Q258=Parametres!$G$2,$Q258=Parametres!$G$3),J258,D258)</f>
        <v>-19</v>
      </c>
      <c r="P258" s="152">
        <f>+IF(OR($Q258=Parametres!$G$2,$Q258=Parametres!$G$3),K258,E258)</f>
        <v>-180</v>
      </c>
      <c r="Q258" s="151" t="str">
        <f t="shared" ref="Q258:S273" si="20">+F258</f>
        <v>10-Compte compteur</v>
      </c>
      <c r="R258" s="150" t="str">
        <f t="shared" si="20"/>
        <v>4733</v>
      </c>
      <c r="S258" s="151">
        <f t="shared" si="20"/>
        <v>0</v>
      </c>
      <c r="T258" s="153" t="str">
        <f>+VLOOKUP($L258,Data_Validation!$A:$D,1,0)</f>
        <v>4733@</v>
      </c>
      <c r="U258" s="153" t="str">
        <f>+VLOOKUP($L258,Data_Validation!$A:$D,3,0)</f>
        <v>Pièces</v>
      </c>
      <c r="V258" s="153" t="str">
        <f>+VLOOKUP($L258,Data_Validation!$A:$D,4,0)</f>
        <v>Pièces Ro Carrosserie</v>
      </c>
      <c r="W258" s="153" t="str">
        <f>+VLOOKUP($L258,Data_Validation!$A:$E,5,0)</f>
        <v>NB</v>
      </c>
      <c r="X258" s="153">
        <f>+VLOOKUP($L258,Data_Validation!$A:$F,6,0)</f>
        <v>0</v>
      </c>
    </row>
    <row r="259" spans="1:24" ht="15" customHeight="1">
      <c r="A259" s="1430" t="s">
        <v>2158</v>
      </c>
      <c r="B259" s="1433">
        <v>4735</v>
      </c>
      <c r="C259" s="1432">
        <v>-11714.39</v>
      </c>
      <c r="D259" s="1432">
        <v>-1000.7</v>
      </c>
      <c r="E259" s="1432">
        <v>-12715.09</v>
      </c>
      <c r="F259" s="1430" t="s">
        <v>282</v>
      </c>
      <c r="G259" s="1430" t="s">
        <v>2159</v>
      </c>
      <c r="H259" s="1431"/>
      <c r="I259" s="1431"/>
      <c r="J259" s="1431"/>
      <c r="K259" s="1431"/>
      <c r="L259" s="150">
        <f t="shared" si="18"/>
        <v>4735</v>
      </c>
      <c r="M259" s="151" t="str">
        <f t="shared" si="19"/>
        <v>VTE - P&amp;A B.T. INTERNE CARROS.</v>
      </c>
      <c r="N259" s="152">
        <f>+IF(OR($Q259=Parametres!$G$2,$Q259=Parametres!$G$3),I259,C259)</f>
        <v>-11714.39</v>
      </c>
      <c r="O259" s="152">
        <f>+IF(OR($Q259=Parametres!$G$2,$Q259=Parametres!$G$3),J259,D259)</f>
        <v>-1000.7</v>
      </c>
      <c r="P259" s="152">
        <f>+IF(OR($Q259=Parametres!$G$2,$Q259=Parametres!$G$3),K259,E259)</f>
        <v>-12715.09</v>
      </c>
      <c r="Q259" s="151" t="str">
        <f t="shared" si="20"/>
        <v>5-Ventes</v>
      </c>
      <c r="R259" s="150" t="str">
        <f t="shared" si="20"/>
        <v>4735</v>
      </c>
      <c r="S259" s="151">
        <f t="shared" si="20"/>
        <v>0</v>
      </c>
      <c r="T259" s="153">
        <f>+VLOOKUP($L259,Data_Validation!$A:$D,1,0)</f>
        <v>4735</v>
      </c>
      <c r="U259" s="153" t="str">
        <f>+VLOOKUP($L259,Data_Validation!$A:$D,3,0)</f>
        <v>Pièces</v>
      </c>
      <c r="V259" s="153" t="str">
        <f>+VLOOKUP($L259,Data_Validation!$A:$D,4,0)</f>
        <v>Pièces Ro Carrosserie</v>
      </c>
      <c r="W259" s="153" t="str">
        <f>+VLOOKUP($L259,Data_Validation!$A:$E,5,0)</f>
        <v>$</v>
      </c>
      <c r="X259" s="153" t="str">
        <f>+VLOOKUP($L259,Data_Validation!$A:$F,6,0)</f>
        <v>Oui</v>
      </c>
    </row>
    <row r="260" spans="1:24" ht="15" customHeight="1">
      <c r="A260" s="1430" t="s">
        <v>2543</v>
      </c>
      <c r="B260" s="1430" t="s">
        <v>2544</v>
      </c>
      <c r="C260" s="1431"/>
      <c r="D260" s="1431"/>
      <c r="E260" s="1431"/>
      <c r="F260" s="1430" t="s">
        <v>4</v>
      </c>
      <c r="G260" s="1430" t="s">
        <v>2159</v>
      </c>
      <c r="H260" s="1431"/>
      <c r="I260" s="1432">
        <v>-35</v>
      </c>
      <c r="J260" s="1432">
        <v>-11</v>
      </c>
      <c r="K260" s="1432">
        <v>-46</v>
      </c>
      <c r="L260" s="150" t="str">
        <f t="shared" si="18"/>
        <v>4735@</v>
      </c>
      <c r="M260" s="151" t="str">
        <f t="shared" si="19"/>
        <v># DE VTE - P&amp;A B.T. INTERNE CARROS.</v>
      </c>
      <c r="N260" s="152">
        <f>+IF(OR($Q260=Parametres!$G$2,$Q260=Parametres!$G$3),I260,C260)</f>
        <v>-35</v>
      </c>
      <c r="O260" s="152">
        <f>+IF(OR($Q260=Parametres!$G$2,$Q260=Parametres!$G$3),J260,D260)</f>
        <v>-11</v>
      </c>
      <c r="P260" s="152">
        <f>+IF(OR($Q260=Parametres!$G$2,$Q260=Parametres!$G$3),K260,E260)</f>
        <v>-46</v>
      </c>
      <c r="Q260" s="151" t="str">
        <f t="shared" si="20"/>
        <v>10-Compte compteur</v>
      </c>
      <c r="R260" s="150" t="str">
        <f t="shared" si="20"/>
        <v>4735</v>
      </c>
      <c r="S260" s="151">
        <f t="shared" si="20"/>
        <v>0</v>
      </c>
      <c r="T260" s="153" t="str">
        <f>+VLOOKUP($L260,Data_Validation!$A:$D,1,0)</f>
        <v>4735@</v>
      </c>
      <c r="U260" s="153" t="str">
        <f>+VLOOKUP($L260,Data_Validation!$A:$D,3,0)</f>
        <v>Pièces</v>
      </c>
      <c r="V260" s="153" t="str">
        <f>+VLOOKUP($L260,Data_Validation!$A:$D,4,0)</f>
        <v>Pièces Ro Carrosserie</v>
      </c>
      <c r="W260" s="153" t="str">
        <f>+VLOOKUP($L260,Data_Validation!$A:$E,5,0)</f>
        <v>NB</v>
      </c>
      <c r="X260" s="153">
        <f>+VLOOKUP($L260,Data_Validation!$A:$F,6,0)</f>
        <v>0</v>
      </c>
    </row>
    <row r="261" spans="1:24" ht="15" customHeight="1">
      <c r="A261" s="1430" t="s">
        <v>2075</v>
      </c>
      <c r="B261" s="1433">
        <v>4761</v>
      </c>
      <c r="C261" s="1432">
        <v>-144645.10999999999</v>
      </c>
      <c r="D261" s="1432">
        <v>-18680.150000000001</v>
      </c>
      <c r="E261" s="1432">
        <v>-163325.26</v>
      </c>
      <c r="F261" s="1430" t="s">
        <v>282</v>
      </c>
      <c r="G261" s="1430" t="s">
        <v>2076</v>
      </c>
      <c r="H261" s="1431"/>
      <c r="I261" s="1431"/>
      <c r="J261" s="1431"/>
      <c r="K261" s="1431"/>
      <c r="L261" s="150">
        <f t="shared" si="18"/>
        <v>4761</v>
      </c>
      <c r="M261" s="151" t="str">
        <f t="shared" si="19"/>
        <v>VTE - P&amp;A VW COMPTOIR - DETAIL</v>
      </c>
      <c r="N261" s="152">
        <f>+IF(OR($Q261=Parametres!$G$2,$Q261=Parametres!$G$3),I261,C261)</f>
        <v>-144645.10999999999</v>
      </c>
      <c r="O261" s="152">
        <f>+IF(OR($Q261=Parametres!$G$2,$Q261=Parametres!$G$3),J261,D261)</f>
        <v>-18680.150000000001</v>
      </c>
      <c r="P261" s="152">
        <f>+IF(OR($Q261=Parametres!$G$2,$Q261=Parametres!$G$3),K261,E261)</f>
        <v>-163325.26</v>
      </c>
      <c r="Q261" s="151" t="str">
        <f t="shared" si="20"/>
        <v>5-Ventes</v>
      </c>
      <c r="R261" s="150" t="str">
        <f t="shared" si="20"/>
        <v>4761</v>
      </c>
      <c r="S261" s="151">
        <f t="shared" si="20"/>
        <v>0</v>
      </c>
      <c r="T261" s="153">
        <f>+VLOOKUP($L261,Data_Validation!$A:$D,1,0)</f>
        <v>4761</v>
      </c>
      <c r="U261" s="153" t="str">
        <f>+VLOOKUP($L261,Data_Validation!$A:$D,3,0)</f>
        <v>Pièces</v>
      </c>
      <c r="V261" s="153" t="str">
        <f>+VLOOKUP($L261,Data_Validation!$A:$D,4,0)</f>
        <v>Ventes Détails</v>
      </c>
      <c r="W261" s="153" t="str">
        <f>+VLOOKUP($L261,Data_Validation!$A:$E,5,0)</f>
        <v>$</v>
      </c>
      <c r="X261" s="153" t="str">
        <f>+VLOOKUP($L261,Data_Validation!$A:$F,6,0)</f>
        <v>Oui</v>
      </c>
    </row>
    <row r="262" spans="1:24" ht="15.75" customHeight="1">
      <c r="A262" s="1430" t="s">
        <v>2545</v>
      </c>
      <c r="B262" s="1430" t="s">
        <v>2546</v>
      </c>
      <c r="C262" s="1431"/>
      <c r="D262" s="1431"/>
      <c r="E262" s="1431"/>
      <c r="F262" s="1430" t="s">
        <v>4</v>
      </c>
      <c r="G262" s="1430" t="s">
        <v>2076</v>
      </c>
      <c r="H262" s="1431"/>
      <c r="I262" s="1432">
        <v>-1435</v>
      </c>
      <c r="J262" s="1432">
        <v>-169</v>
      </c>
      <c r="K262" s="1432">
        <v>-1604</v>
      </c>
      <c r="L262" s="150" t="str">
        <f t="shared" si="18"/>
        <v>4761@</v>
      </c>
      <c r="M262" s="151" t="str">
        <f t="shared" si="19"/>
        <v>PIECES-COMPTOIR-DETAIL</v>
      </c>
      <c r="N262" s="152">
        <f>+IF(OR($Q262=Parametres!$G$2,$Q262=Parametres!$G$3),I262,C262)</f>
        <v>-1435</v>
      </c>
      <c r="O262" s="152">
        <f>+IF(OR($Q262=Parametres!$G$2,$Q262=Parametres!$G$3),J262,D262)</f>
        <v>-169</v>
      </c>
      <c r="P262" s="152">
        <f>+IF(OR($Q262=Parametres!$G$2,$Q262=Parametres!$G$3),K262,E262)</f>
        <v>-1604</v>
      </c>
      <c r="Q262" s="151" t="str">
        <f t="shared" si="20"/>
        <v>10-Compte compteur</v>
      </c>
      <c r="R262" s="150" t="str">
        <f t="shared" si="20"/>
        <v>4761</v>
      </c>
      <c r="S262" s="151">
        <f t="shared" si="20"/>
        <v>0</v>
      </c>
      <c r="T262" s="153" t="str">
        <f>+VLOOKUP($L262,Data_Validation!$A:$D,1,0)</f>
        <v>4761@</v>
      </c>
      <c r="U262" s="153" t="str">
        <f>+VLOOKUP($L262,Data_Validation!$A:$D,3,0)</f>
        <v>Pièces</v>
      </c>
      <c r="V262" s="153" t="str">
        <f>+VLOOKUP($L262,Data_Validation!$A:$D,4,0)</f>
        <v>Ventes Détails</v>
      </c>
      <c r="W262" s="153" t="str">
        <f>+VLOOKUP($L262,Data_Validation!$A:$E,5,0)</f>
        <v>NB</v>
      </c>
      <c r="X262" s="153">
        <f>+VLOOKUP($L262,Data_Validation!$A:$F,6,0)</f>
        <v>0</v>
      </c>
    </row>
    <row r="263" spans="1:24" ht="15" customHeight="1">
      <c r="A263" s="1430" t="s">
        <v>2038</v>
      </c>
      <c r="B263" s="1433">
        <v>4763</v>
      </c>
      <c r="C263" s="1432">
        <v>-432864.74</v>
      </c>
      <c r="D263" s="1432">
        <v>-56712.29</v>
      </c>
      <c r="E263" s="1432">
        <v>-489577.03</v>
      </c>
      <c r="F263" s="1430" t="s">
        <v>282</v>
      </c>
      <c r="G263" s="1430" t="s">
        <v>2039</v>
      </c>
      <c r="H263" s="1431"/>
      <c r="I263" s="1431"/>
      <c r="J263" s="1431"/>
      <c r="K263" s="1431"/>
      <c r="L263" s="150">
        <f t="shared" si="18"/>
        <v>4763</v>
      </c>
      <c r="M263" s="151" t="str">
        <f t="shared" si="19"/>
        <v>VTE - P&amp;A VW COMPTOIR GROS - ECHANGE</v>
      </c>
      <c r="N263" s="152">
        <f>+IF(OR($Q263=Parametres!$G$2,$Q263=Parametres!$G$3),I263,C263)</f>
        <v>-432864.74</v>
      </c>
      <c r="O263" s="152">
        <f>+IF(OR($Q263=Parametres!$G$2,$Q263=Parametres!$G$3),J263,D263)</f>
        <v>-56712.29</v>
      </c>
      <c r="P263" s="152">
        <f>+IF(OR($Q263=Parametres!$G$2,$Q263=Parametres!$G$3),K263,E263)</f>
        <v>-489577.03</v>
      </c>
      <c r="Q263" s="151" t="str">
        <f t="shared" si="20"/>
        <v>5-Ventes</v>
      </c>
      <c r="R263" s="150" t="str">
        <f t="shared" si="20"/>
        <v>4763</v>
      </c>
      <c r="S263" s="151">
        <f t="shared" si="20"/>
        <v>0</v>
      </c>
      <c r="T263" s="153">
        <f>+VLOOKUP($L263,Data_Validation!$A:$D,1,0)</f>
        <v>4763</v>
      </c>
      <c r="U263" s="153" t="str">
        <f>+VLOOKUP($L263,Data_Validation!$A:$D,3,0)</f>
        <v>Pièces</v>
      </c>
      <c r="V263" s="153" t="str">
        <f>+VLOOKUP($L263,Data_Validation!$A:$D,4,0)</f>
        <v>Ventes de Gros</v>
      </c>
      <c r="W263" s="153" t="str">
        <f>+VLOOKUP($L263,Data_Validation!$A:$E,5,0)</f>
        <v>$</v>
      </c>
      <c r="X263" s="153" t="str">
        <f>+VLOOKUP($L263,Data_Validation!$A:$F,6,0)</f>
        <v>Oui</v>
      </c>
    </row>
    <row r="264" spans="1:24" ht="15" customHeight="1">
      <c r="A264" s="1430" t="s">
        <v>2547</v>
      </c>
      <c r="B264" s="1430" t="s">
        <v>2548</v>
      </c>
      <c r="C264" s="1431"/>
      <c r="D264" s="1431"/>
      <c r="E264" s="1431"/>
      <c r="F264" s="1430" t="s">
        <v>4</v>
      </c>
      <c r="G264" s="1430" t="s">
        <v>2039</v>
      </c>
      <c r="H264" s="1431"/>
      <c r="I264" s="1432">
        <v>-1752</v>
      </c>
      <c r="J264" s="1432">
        <v>-206</v>
      </c>
      <c r="K264" s="1432">
        <v>-1958</v>
      </c>
      <c r="L264" s="150" t="str">
        <f t="shared" si="18"/>
        <v>4763@</v>
      </c>
      <c r="M264" s="151" t="str">
        <f t="shared" si="19"/>
        <v>PIECES-COMPTOIR-COMM. GROS</v>
      </c>
      <c r="N264" s="152">
        <f>+IF(OR($Q264=Parametres!$G$2,$Q264=Parametres!$G$3),I264,C264)</f>
        <v>-1752</v>
      </c>
      <c r="O264" s="152">
        <f>+IF(OR($Q264=Parametres!$G$2,$Q264=Parametres!$G$3),J264,D264)</f>
        <v>-206</v>
      </c>
      <c r="P264" s="152">
        <f>+IF(OR($Q264=Parametres!$G$2,$Q264=Parametres!$G$3),K264,E264)</f>
        <v>-1958</v>
      </c>
      <c r="Q264" s="151" t="str">
        <f t="shared" si="20"/>
        <v>10-Compte compteur</v>
      </c>
      <c r="R264" s="150" t="str">
        <f t="shared" si="20"/>
        <v>4763</v>
      </c>
      <c r="S264" s="151">
        <f t="shared" si="20"/>
        <v>0</v>
      </c>
      <c r="T264" s="153" t="str">
        <f>+VLOOKUP($L264,Data_Validation!$A:$D,1,0)</f>
        <v>4763@</v>
      </c>
      <c r="U264" s="153" t="str">
        <f>+VLOOKUP($L264,Data_Validation!$A:$D,3,0)</f>
        <v>Pièces</v>
      </c>
      <c r="V264" s="153" t="str">
        <f>+VLOOKUP($L264,Data_Validation!$A:$D,4,0)</f>
        <v>Ventes de Gros</v>
      </c>
      <c r="W264" s="153" t="str">
        <f>+VLOOKUP($L264,Data_Validation!$A:$E,5,0)</f>
        <v>NB</v>
      </c>
      <c r="X264" s="153">
        <f>+VLOOKUP($L264,Data_Validation!$A:$F,6,0)</f>
        <v>0</v>
      </c>
    </row>
    <row r="265" spans="1:24" ht="15" customHeight="1">
      <c r="A265" s="1430" t="s">
        <v>2027</v>
      </c>
      <c r="B265" s="1433">
        <v>4781</v>
      </c>
      <c r="C265" s="1432">
        <v>-274729.5</v>
      </c>
      <c r="D265" s="1432">
        <v>-64890.07</v>
      </c>
      <c r="E265" s="1432">
        <v>-339619.57</v>
      </c>
      <c r="F265" s="1430" t="s">
        <v>282</v>
      </c>
      <c r="G265" s="1430" t="s">
        <v>2028</v>
      </c>
      <c r="H265" s="1431"/>
      <c r="I265" s="1431"/>
      <c r="J265" s="1431"/>
      <c r="K265" s="1431"/>
      <c r="L265" s="150">
        <f t="shared" si="18"/>
        <v>4781</v>
      </c>
      <c r="M265" s="151" t="str">
        <f t="shared" si="19"/>
        <v>VENTES PNEUS</v>
      </c>
      <c r="N265" s="152">
        <f>+IF(OR($Q265=Parametres!$G$2,$Q265=Parametres!$G$3),I265,C265)</f>
        <v>-274729.5</v>
      </c>
      <c r="O265" s="152">
        <f>+IF(OR($Q265=Parametres!$G$2,$Q265=Parametres!$G$3),J265,D265)</f>
        <v>-64890.07</v>
      </c>
      <c r="P265" s="152">
        <f>+IF(OR($Q265=Parametres!$G$2,$Q265=Parametres!$G$3),K265,E265)</f>
        <v>-339619.57</v>
      </c>
      <c r="Q265" s="151" t="str">
        <f t="shared" si="20"/>
        <v>5-Ventes</v>
      </c>
      <c r="R265" s="150" t="str">
        <f t="shared" si="20"/>
        <v>4781</v>
      </c>
      <c r="S265" s="151">
        <f t="shared" si="20"/>
        <v>0</v>
      </c>
      <c r="T265" s="153">
        <f>+VLOOKUP($L265,Data_Validation!$A:$D,1,0)</f>
        <v>4781</v>
      </c>
      <c r="U265" s="153" t="str">
        <f>+VLOOKUP($L265,Data_Validation!$A:$D,3,0)</f>
        <v>Pièces</v>
      </c>
      <c r="V265" s="153" t="str">
        <f>+VLOOKUP($L265,Data_Validation!$A:$D,4,0)</f>
        <v>Ventes Pneus</v>
      </c>
      <c r="W265" s="153" t="str">
        <f>+VLOOKUP($L265,Data_Validation!$A:$E,5,0)</f>
        <v>$</v>
      </c>
      <c r="X265" s="153" t="str">
        <f>+VLOOKUP($L265,Data_Validation!$A:$F,6,0)</f>
        <v>Oui</v>
      </c>
    </row>
    <row r="266" spans="1:24" ht="15" customHeight="1">
      <c r="A266" s="1430" t="s">
        <v>2027</v>
      </c>
      <c r="B266" s="1430" t="s">
        <v>2549</v>
      </c>
      <c r="C266" s="1431"/>
      <c r="D266" s="1431"/>
      <c r="E266" s="1431"/>
      <c r="F266" s="1430" t="s">
        <v>4</v>
      </c>
      <c r="G266" s="1430" t="s">
        <v>2028</v>
      </c>
      <c r="H266" s="1431"/>
      <c r="I266" s="1432">
        <v>-394</v>
      </c>
      <c r="J266" s="1432">
        <v>-91</v>
      </c>
      <c r="K266" s="1432">
        <v>-485</v>
      </c>
      <c r="L266" s="150" t="str">
        <f t="shared" si="18"/>
        <v>4781@</v>
      </c>
      <c r="M266" s="151" t="str">
        <f t="shared" si="19"/>
        <v>VENTES PNEUS</v>
      </c>
      <c r="N266" s="152">
        <f>+IF(OR($Q266=Parametres!$G$2,$Q266=Parametres!$G$3),I266,C266)</f>
        <v>-394</v>
      </c>
      <c r="O266" s="152">
        <f>+IF(OR($Q266=Parametres!$G$2,$Q266=Parametres!$G$3),J266,D266)</f>
        <v>-91</v>
      </c>
      <c r="P266" s="152">
        <f>+IF(OR($Q266=Parametres!$G$2,$Q266=Parametres!$G$3),K266,E266)</f>
        <v>-485</v>
      </c>
      <c r="Q266" s="151" t="str">
        <f t="shared" si="20"/>
        <v>10-Compte compteur</v>
      </c>
      <c r="R266" s="150" t="str">
        <f t="shared" si="20"/>
        <v>4781</v>
      </c>
      <c r="S266" s="151">
        <f t="shared" si="20"/>
        <v>0</v>
      </c>
      <c r="T266" s="153" t="str">
        <f>+VLOOKUP($L266,Data_Validation!$A:$D,1,0)</f>
        <v>4781@</v>
      </c>
      <c r="U266" s="153" t="str">
        <f>+VLOOKUP($L266,Data_Validation!$A:$D,3,0)</f>
        <v>Pièces</v>
      </c>
      <c r="V266" s="153" t="str">
        <f>+VLOOKUP($L266,Data_Validation!$A:$D,4,0)</f>
        <v>Ventes Pneus</v>
      </c>
      <c r="W266" s="153" t="str">
        <f>+VLOOKUP($L266,Data_Validation!$A:$E,5,0)</f>
        <v>NB</v>
      </c>
      <c r="X266" s="153">
        <f>+VLOOKUP($L266,Data_Validation!$A:$F,6,0)</f>
        <v>0</v>
      </c>
    </row>
    <row r="267" spans="1:24" ht="15" customHeight="1">
      <c r="A267" s="1430" t="s">
        <v>2113</v>
      </c>
      <c r="B267" s="1433">
        <v>4785</v>
      </c>
      <c r="C267" s="1432">
        <v>-3462.19</v>
      </c>
      <c r="D267" s="1432">
        <v>-4171.76</v>
      </c>
      <c r="E267" s="1432">
        <v>-7633.95</v>
      </c>
      <c r="F267" s="1430" t="s">
        <v>282</v>
      </c>
      <c r="G267" s="1430" t="s">
        <v>2028</v>
      </c>
      <c r="H267" s="1431"/>
      <c r="I267" s="1431"/>
      <c r="J267" s="1431"/>
      <c r="K267" s="1431"/>
      <c r="L267" s="150">
        <f t="shared" si="18"/>
        <v>4785</v>
      </c>
      <c r="M267" s="151" t="str">
        <f t="shared" si="19"/>
        <v>VTE - VW PNEUS</v>
      </c>
      <c r="N267" s="152">
        <f>+IF(OR($Q267=Parametres!$G$2,$Q267=Parametres!$G$3),I267,C267)</f>
        <v>-3462.19</v>
      </c>
      <c r="O267" s="152">
        <f>+IF(OR($Q267=Parametres!$G$2,$Q267=Parametres!$G$3),J267,D267)</f>
        <v>-4171.76</v>
      </c>
      <c r="P267" s="152">
        <f>+IF(OR($Q267=Parametres!$G$2,$Q267=Parametres!$G$3),K267,E267)</f>
        <v>-7633.95</v>
      </c>
      <c r="Q267" s="151" t="str">
        <f t="shared" si="20"/>
        <v>5-Ventes</v>
      </c>
      <c r="R267" s="150" t="str">
        <f t="shared" si="20"/>
        <v>4781</v>
      </c>
      <c r="S267" s="151">
        <f t="shared" si="20"/>
        <v>0</v>
      </c>
      <c r="T267" s="153">
        <f>+VLOOKUP($L267,Data_Validation!$A:$D,1,0)</f>
        <v>4785</v>
      </c>
      <c r="U267" s="153" t="str">
        <f>+VLOOKUP($L267,Data_Validation!$A:$D,3,0)</f>
        <v>Pièces</v>
      </c>
      <c r="V267" s="153" t="str">
        <f>+VLOOKUP($L267,Data_Validation!$A:$D,4,0)</f>
        <v>Ventes Pneus</v>
      </c>
      <c r="W267" s="153" t="str">
        <f>+VLOOKUP($L267,Data_Validation!$A:$E,5,0)</f>
        <v>$</v>
      </c>
      <c r="X267" s="153" t="str">
        <f>+VLOOKUP($L267,Data_Validation!$A:$F,6,0)</f>
        <v>Oui</v>
      </c>
    </row>
    <row r="268" spans="1:24" ht="15" customHeight="1">
      <c r="A268" s="1430" t="s">
        <v>2831</v>
      </c>
      <c r="B268" s="1433">
        <v>5100</v>
      </c>
      <c r="C268" s="1432">
        <v>1945827.19</v>
      </c>
      <c r="D268" s="1432">
        <v>169771.55</v>
      </c>
      <c r="E268" s="1432">
        <v>2115598.7400000002</v>
      </c>
      <c r="F268" s="1430" t="s">
        <v>421</v>
      </c>
      <c r="G268" s="1430" t="s">
        <v>2019</v>
      </c>
      <c r="H268" s="1431"/>
      <c r="I268" s="1431"/>
      <c r="J268" s="1431"/>
      <c r="K268" s="1431"/>
      <c r="L268" s="150">
        <f t="shared" si="18"/>
        <v>5100</v>
      </c>
      <c r="M268" s="151" t="str">
        <f t="shared" si="19"/>
        <v>C/V - RACHAT DE BAIL</v>
      </c>
      <c r="N268" s="152">
        <f>+IF(OR($Q268=Parametres!$G$2,$Q268=Parametres!$G$3),I268,C268)</f>
        <v>1945827.19</v>
      </c>
      <c r="O268" s="152">
        <f>+IF(OR($Q268=Parametres!$G$2,$Q268=Parametres!$G$3),J268,D268)</f>
        <v>169771.55</v>
      </c>
      <c r="P268" s="152">
        <f>+IF(OR($Q268=Parametres!$G$2,$Q268=Parametres!$G$3),K268,E268)</f>
        <v>2115598.7400000002</v>
      </c>
      <c r="Q268" s="151" t="str">
        <f t="shared" si="20"/>
        <v>6-Coût des ventes</v>
      </c>
      <c r="R268" s="150" t="str">
        <f t="shared" si="20"/>
        <v>4100</v>
      </c>
      <c r="S268" s="151">
        <f t="shared" si="20"/>
        <v>0</v>
      </c>
      <c r="T268" s="153">
        <f>+VLOOKUP($L268,Data_Validation!$A:$D,1,0)</f>
        <v>5100</v>
      </c>
      <c r="U268" s="153" t="str">
        <f>+VLOOKUP($L268,Data_Validation!$A:$D,3,0)</f>
        <v>Véhicules neufs</v>
      </c>
      <c r="V268" s="153" t="str">
        <f>+VLOOKUP($L268,Data_Validation!$A:$D,4,0)</f>
        <v>Rachat bail</v>
      </c>
      <c r="W268" s="153" t="str">
        <f>+VLOOKUP($L268,Data_Validation!$A:$E,5,0)</f>
        <v>$</v>
      </c>
      <c r="X268" s="153">
        <f>+VLOOKUP($L268,Data_Validation!$A:$F,6,0)</f>
        <v>0</v>
      </c>
    </row>
    <row r="269" spans="1:24" ht="15" customHeight="1">
      <c r="A269" s="1430" t="s">
        <v>2439</v>
      </c>
      <c r="B269" s="1433">
        <v>5105</v>
      </c>
      <c r="C269" s="1432">
        <v>103255.11</v>
      </c>
      <c r="D269" s="1432">
        <v>0</v>
      </c>
      <c r="E269" s="1432">
        <v>103255.11</v>
      </c>
      <c r="F269" s="1430" t="s">
        <v>421</v>
      </c>
      <c r="G269" s="1430" t="s">
        <v>2425</v>
      </c>
      <c r="H269" s="1431"/>
      <c r="I269" s="1431"/>
      <c r="J269" s="1431"/>
      <c r="K269" s="1431"/>
      <c r="L269" s="150">
        <f t="shared" si="18"/>
        <v>5105</v>
      </c>
      <c r="M269" s="151" t="str">
        <f t="shared" si="19"/>
        <v>C/V - ARTEON</v>
      </c>
      <c r="N269" s="152">
        <f>+IF(OR($Q269=Parametres!$G$2,$Q269=Parametres!$G$3),I269,C269)</f>
        <v>103255.11</v>
      </c>
      <c r="O269" s="152">
        <f>+IF(OR($Q269=Parametres!$G$2,$Q269=Parametres!$G$3),J269,D269)</f>
        <v>0</v>
      </c>
      <c r="P269" s="152">
        <f>+IF(OR($Q269=Parametres!$G$2,$Q269=Parametres!$G$3),K269,E269)</f>
        <v>103255.11</v>
      </c>
      <c r="Q269" s="151" t="str">
        <f t="shared" si="20"/>
        <v>6-Coût des ventes</v>
      </c>
      <c r="R269" s="150" t="str">
        <f t="shared" si="20"/>
        <v>4105</v>
      </c>
      <c r="S269" s="151">
        <f t="shared" si="20"/>
        <v>0</v>
      </c>
      <c r="T269" s="153">
        <f>+VLOOKUP($L269,Data_Validation!$A:$D,1,0)</f>
        <v>5105</v>
      </c>
      <c r="U269" s="153" t="str">
        <f>+VLOOKUP($L269,Data_Validation!$A:$D,3,0)</f>
        <v>Véhicules neufs</v>
      </c>
      <c r="V269" s="153" t="str">
        <f>+VLOOKUP($L269,Data_Validation!$A:$D,4,0)</f>
        <v>Autos détail</v>
      </c>
      <c r="W269" s="153" t="str">
        <f>+VLOOKUP($L269,Data_Validation!$A:$E,5,0)</f>
        <v>$</v>
      </c>
      <c r="X269" s="153">
        <f>+VLOOKUP($L269,Data_Validation!$A:$F,6,0)</f>
        <v>0</v>
      </c>
    </row>
    <row r="270" spans="1:24" ht="15" customHeight="1">
      <c r="A270" s="1430" t="s">
        <v>2833</v>
      </c>
      <c r="B270" s="1433">
        <v>5107</v>
      </c>
      <c r="C270" s="1432">
        <v>2492905.56</v>
      </c>
      <c r="D270" s="1432">
        <v>179462.33</v>
      </c>
      <c r="E270" s="1432">
        <v>2672367.89</v>
      </c>
      <c r="F270" s="1430" t="s">
        <v>421</v>
      </c>
      <c r="G270" s="1430" t="s">
        <v>2012</v>
      </c>
      <c r="H270" s="1431"/>
      <c r="I270" s="1431"/>
      <c r="J270" s="1431"/>
      <c r="K270" s="1431"/>
      <c r="L270" s="150">
        <f t="shared" si="18"/>
        <v>5107</v>
      </c>
      <c r="M270" s="151" t="str">
        <f t="shared" si="19"/>
        <v>C/V - GOLF</v>
      </c>
      <c r="N270" s="152">
        <f>+IF(OR($Q270=Parametres!$G$2,$Q270=Parametres!$G$3),I270,C270)</f>
        <v>2492905.56</v>
      </c>
      <c r="O270" s="569">
        <f>+IF(OR($Q270=Parametres!$G$2,$Q270=Parametres!$G$3),J270,D270)</f>
        <v>179462.33</v>
      </c>
      <c r="P270" s="152">
        <f>+IF(OR($Q270=Parametres!$G$2,$Q270=Parametres!$G$3),K270,E270)</f>
        <v>2672367.89</v>
      </c>
      <c r="Q270" s="151" t="str">
        <f t="shared" si="20"/>
        <v>6-Coût des ventes</v>
      </c>
      <c r="R270" s="150" t="str">
        <f t="shared" si="20"/>
        <v>4107</v>
      </c>
      <c r="S270" s="151">
        <f t="shared" si="20"/>
        <v>0</v>
      </c>
      <c r="T270" s="153">
        <f>+VLOOKUP($L270,Data_Validation!$A:$D,1,0)</f>
        <v>5107</v>
      </c>
      <c r="U270" s="153" t="str">
        <f>+VLOOKUP($L270,Data_Validation!$A:$D,3,0)</f>
        <v>Véhicules neufs</v>
      </c>
      <c r="V270" s="153" t="str">
        <f>+VLOOKUP($L270,Data_Validation!$A:$D,4,0)</f>
        <v>Autos détail</v>
      </c>
      <c r="W270" s="153" t="str">
        <f>+VLOOKUP($L270,Data_Validation!$A:$E,5,0)</f>
        <v>$</v>
      </c>
      <c r="X270" s="153">
        <f>+VLOOKUP($L270,Data_Validation!$A:$F,6,0)</f>
        <v>0</v>
      </c>
    </row>
    <row r="271" spans="1:24" ht="15" customHeight="1">
      <c r="A271" s="1430" t="s">
        <v>2835</v>
      </c>
      <c r="B271" s="1433">
        <v>5111</v>
      </c>
      <c r="C271" s="1432">
        <v>2204882.84</v>
      </c>
      <c r="D271" s="1432">
        <v>340448.02</v>
      </c>
      <c r="E271" s="1432">
        <v>2545330.86</v>
      </c>
      <c r="F271" s="1430" t="s">
        <v>421</v>
      </c>
      <c r="G271" s="1430" t="s">
        <v>2007</v>
      </c>
      <c r="H271" s="1431"/>
      <c r="I271" s="1431"/>
      <c r="J271" s="1431"/>
      <c r="K271" s="1431"/>
      <c r="L271" s="150">
        <f t="shared" si="18"/>
        <v>5111</v>
      </c>
      <c r="M271" s="151" t="str">
        <f t="shared" si="19"/>
        <v>C/V - JETTA</v>
      </c>
      <c r="N271" s="152">
        <f>+IF(OR($Q271=Parametres!$G$2,$Q271=Parametres!$G$3),I271,C271)</f>
        <v>2204882.84</v>
      </c>
      <c r="O271" s="569">
        <f>+IF(OR($Q271=Parametres!$G$2,$Q271=Parametres!$G$3),J271,D271)</f>
        <v>340448.02</v>
      </c>
      <c r="P271" s="152">
        <f>+IF(OR($Q271=Parametres!$G$2,$Q271=Parametres!$G$3),K271,E271)</f>
        <v>2545330.86</v>
      </c>
      <c r="Q271" s="151" t="str">
        <f t="shared" si="20"/>
        <v>6-Coût des ventes</v>
      </c>
      <c r="R271" s="150" t="str">
        <f t="shared" si="20"/>
        <v>4111</v>
      </c>
      <c r="S271" s="151">
        <f t="shared" si="20"/>
        <v>0</v>
      </c>
      <c r="T271" s="153">
        <f>+VLOOKUP($L271,Data_Validation!$A:$D,1,0)</f>
        <v>5111</v>
      </c>
      <c r="U271" s="153" t="str">
        <f>+VLOOKUP($L271,Data_Validation!$A:$D,3,0)</f>
        <v>Véhicules neufs</v>
      </c>
      <c r="V271" s="153" t="str">
        <f>+VLOOKUP($L271,Data_Validation!$A:$D,4,0)</f>
        <v>Autos détail</v>
      </c>
      <c r="W271" s="153" t="str">
        <f>+VLOOKUP($L271,Data_Validation!$A:$E,5,0)</f>
        <v>$</v>
      </c>
      <c r="X271" s="153">
        <f>+VLOOKUP($L271,Data_Validation!$A:$F,6,0)</f>
        <v>0</v>
      </c>
    </row>
    <row r="272" spans="1:24" ht="15.75" customHeight="1">
      <c r="A272" s="1430" t="s">
        <v>2445</v>
      </c>
      <c r="B272" s="1433">
        <v>5115</v>
      </c>
      <c r="C272" s="1432">
        <v>14956.52</v>
      </c>
      <c r="D272" s="1432">
        <v>0</v>
      </c>
      <c r="E272" s="1432">
        <v>14956.52</v>
      </c>
      <c r="F272" s="1430" t="s">
        <v>421</v>
      </c>
      <c r="G272" s="1430" t="s">
        <v>2431</v>
      </c>
      <c r="H272" s="1431"/>
      <c r="I272" s="1431"/>
      <c r="J272" s="1431"/>
      <c r="K272" s="1431"/>
      <c r="L272" s="150">
        <f t="shared" si="18"/>
        <v>5115</v>
      </c>
      <c r="M272" s="151" t="str">
        <f t="shared" si="19"/>
        <v>C/V - PASSAT BERLINE</v>
      </c>
      <c r="N272" s="152">
        <f>+IF(OR($Q272=Parametres!$G$2,$Q272=Parametres!$G$3),I272,C272)</f>
        <v>14956.52</v>
      </c>
      <c r="O272" s="569">
        <f>+IF(OR($Q272=Parametres!$G$2,$Q272=Parametres!$G$3),J272,D272)</f>
        <v>0</v>
      </c>
      <c r="P272" s="152">
        <f>+IF(OR($Q272=Parametres!$G$2,$Q272=Parametres!$G$3),K272,E272)</f>
        <v>14956.52</v>
      </c>
      <c r="Q272" s="151" t="str">
        <f t="shared" si="20"/>
        <v>6-Coût des ventes</v>
      </c>
      <c r="R272" s="150" t="str">
        <f t="shared" si="20"/>
        <v>4115</v>
      </c>
      <c r="S272" s="151">
        <f t="shared" si="20"/>
        <v>0</v>
      </c>
      <c r="T272" s="153">
        <f>+VLOOKUP($L272,Data_Validation!$A:$D,1,0)</f>
        <v>5115</v>
      </c>
      <c r="U272" s="153" t="str">
        <f>+VLOOKUP($L272,Data_Validation!$A:$D,3,0)</f>
        <v>Véhicules neufs</v>
      </c>
      <c r="V272" s="153" t="str">
        <f>+VLOOKUP($L272,Data_Validation!$A:$D,4,0)</f>
        <v>Autos détail</v>
      </c>
      <c r="W272" s="153" t="str">
        <f>+VLOOKUP($L272,Data_Validation!$A:$E,5,0)</f>
        <v>$</v>
      </c>
      <c r="X272" s="153">
        <f>+VLOOKUP($L272,Data_Validation!$A:$F,6,0)</f>
        <v>0</v>
      </c>
    </row>
    <row r="273" spans="1:24" ht="15" customHeight="1">
      <c r="A273" s="1430" t="s">
        <v>2897</v>
      </c>
      <c r="B273" s="1433">
        <v>5118</v>
      </c>
      <c r="C273" s="1432">
        <v>181754.89</v>
      </c>
      <c r="D273" s="1432">
        <v>357830.43</v>
      </c>
      <c r="E273" s="1432">
        <v>539585.31999999995</v>
      </c>
      <c r="F273" s="1430" t="s">
        <v>421</v>
      </c>
      <c r="G273" s="1430" t="s">
        <v>1523</v>
      </c>
      <c r="H273" s="1235"/>
      <c r="I273" s="1236"/>
      <c r="J273" s="1236"/>
      <c r="K273" s="1236"/>
      <c r="L273" s="150">
        <f t="shared" si="18"/>
        <v>5118</v>
      </c>
      <c r="M273" s="151" t="str">
        <f t="shared" si="19"/>
        <v>C/V - TAOS</v>
      </c>
      <c r="N273" s="152">
        <f>+IF(OR($Q273=Parametres!$G$2,$Q273=Parametres!$G$3),I273,C273)</f>
        <v>181754.89</v>
      </c>
      <c r="O273" s="569">
        <f>+IF(OR($Q273=Parametres!$G$2,$Q273=Parametres!$G$3),J273,D273)</f>
        <v>357830.43</v>
      </c>
      <c r="P273" s="152">
        <f>+IF(OR($Q273=Parametres!$G$2,$Q273=Parametres!$G$3),K273,E273)</f>
        <v>539585.31999999995</v>
      </c>
      <c r="Q273" s="151" t="str">
        <f t="shared" si="20"/>
        <v>6-Coût des ventes</v>
      </c>
      <c r="R273" s="150" t="str">
        <f t="shared" si="20"/>
        <v>511</v>
      </c>
      <c r="S273" s="151">
        <f t="shared" si="20"/>
        <v>0</v>
      </c>
      <c r="T273" s="153">
        <f>+VLOOKUP($L273,Data_Validation!$A:$D,1,0)</f>
        <v>5118</v>
      </c>
      <c r="U273" s="153" t="str">
        <f>+VLOOKUP($L273,Data_Validation!$A:$D,3,0)</f>
        <v>Véhicules neufs</v>
      </c>
      <c r="V273" s="153" t="str">
        <f>+VLOOKUP($L273,Data_Validation!$A:$D,4,0)</f>
        <v>Camions détail</v>
      </c>
      <c r="W273" s="153" t="str">
        <f>+VLOOKUP($L273,Data_Validation!$A:$E,5,0)</f>
        <v>$</v>
      </c>
      <c r="X273" s="153">
        <f>+VLOOKUP($L273,Data_Validation!$A:$F,6,0)</f>
        <v>0</v>
      </c>
    </row>
    <row r="274" spans="1:24" ht="15" customHeight="1">
      <c r="A274" s="1430" t="s">
        <v>2841</v>
      </c>
      <c r="B274" s="1433">
        <v>5119</v>
      </c>
      <c r="C274" s="1432">
        <v>4624996.71</v>
      </c>
      <c r="D274" s="1432">
        <v>210865.06</v>
      </c>
      <c r="E274" s="1432">
        <v>4835861.7699999996</v>
      </c>
      <c r="F274" s="1430" t="s">
        <v>421</v>
      </c>
      <c r="G274" s="1430" t="s">
        <v>1996</v>
      </c>
      <c r="H274" s="1235"/>
      <c r="I274" s="1236"/>
      <c r="J274" s="1236"/>
      <c r="K274" s="1236"/>
      <c r="L274" s="150">
        <f t="shared" si="18"/>
        <v>5119</v>
      </c>
      <c r="M274" s="151" t="str">
        <f t="shared" si="19"/>
        <v>C/V - ATLAS</v>
      </c>
      <c r="N274" s="152">
        <f>+IF(OR($Q274=Parametres!$G$2,$Q274=Parametres!$G$3),I274,C274)</f>
        <v>4624996.71</v>
      </c>
      <c r="O274" s="569">
        <f>+IF(OR($Q274=Parametres!$G$2,$Q274=Parametres!$G$3),J274,D274)</f>
        <v>210865.06</v>
      </c>
      <c r="P274" s="152">
        <f>+IF(OR($Q274=Parametres!$G$2,$Q274=Parametres!$G$3),K274,E274)</f>
        <v>4835861.7699999996</v>
      </c>
      <c r="Q274" s="151" t="str">
        <f t="shared" ref="Q274:S289" si="21">+F274</f>
        <v>6-Coût des ventes</v>
      </c>
      <c r="R274" s="150" t="str">
        <f t="shared" si="21"/>
        <v>4119</v>
      </c>
      <c r="S274" s="151">
        <f t="shared" si="21"/>
        <v>0</v>
      </c>
      <c r="T274" s="153">
        <f>+VLOOKUP($L274,Data_Validation!$A:$D,1,0)</f>
        <v>5119</v>
      </c>
      <c r="U274" s="153" t="str">
        <f>+VLOOKUP($L274,Data_Validation!$A:$D,3,0)</f>
        <v>Véhicules neufs</v>
      </c>
      <c r="V274" s="153" t="str">
        <f>+VLOOKUP($L274,Data_Validation!$A:$D,4,0)</f>
        <v>Camions détail</v>
      </c>
      <c r="W274" s="153" t="str">
        <f>+VLOOKUP($L274,Data_Validation!$A:$E,5,0)</f>
        <v>$</v>
      </c>
      <c r="X274" s="153">
        <f>+VLOOKUP($L274,Data_Validation!$A:$F,6,0)</f>
        <v>0</v>
      </c>
    </row>
    <row r="275" spans="1:24" ht="15" customHeight="1">
      <c r="A275" s="1430" t="s">
        <v>2885</v>
      </c>
      <c r="B275" s="1433">
        <v>5121</v>
      </c>
      <c r="C275" s="1432">
        <v>431967.03</v>
      </c>
      <c r="D275" s="1432">
        <v>0</v>
      </c>
      <c r="E275" s="1432">
        <v>431967.03</v>
      </c>
      <c r="F275" s="1430" t="s">
        <v>421</v>
      </c>
      <c r="G275" s="1430" t="s">
        <v>3252</v>
      </c>
      <c r="H275" s="1235"/>
      <c r="I275" s="1236"/>
      <c r="J275" s="1236"/>
      <c r="K275" s="1236"/>
      <c r="L275" s="150">
        <f t="shared" si="18"/>
        <v>5121</v>
      </c>
      <c r="M275" s="151" t="str">
        <f t="shared" si="19"/>
        <v>C/V - ATLAS CROSS SPORT</v>
      </c>
      <c r="N275" s="152">
        <f>+IF(OR($Q275=Parametres!$G$2,$Q275=Parametres!$G$3),I275,C275)</f>
        <v>431967.03</v>
      </c>
      <c r="O275" s="569">
        <f>+IF(OR($Q275=Parametres!$G$2,$Q275=Parametres!$G$3),J275,D275)</f>
        <v>0</v>
      </c>
      <c r="P275" s="152">
        <f>+IF(OR($Q275=Parametres!$G$2,$Q275=Parametres!$G$3),K275,E275)</f>
        <v>431967.03</v>
      </c>
      <c r="Q275" s="151" t="str">
        <f t="shared" si="21"/>
        <v>6-Coût des ventes</v>
      </c>
      <c r="R275" s="150" t="str">
        <f t="shared" si="21"/>
        <v>4121</v>
      </c>
      <c r="S275" s="151">
        <f t="shared" si="21"/>
        <v>0</v>
      </c>
      <c r="T275" s="153">
        <f>+VLOOKUP($L275,Data_Validation!$A:$D,1,0)</f>
        <v>5121</v>
      </c>
      <c r="U275" s="153" t="str">
        <f>+VLOOKUP($L275,Data_Validation!$A:$D,3,0)</f>
        <v>Véhicules neufs</v>
      </c>
      <c r="V275" s="153" t="str">
        <f>+VLOOKUP($L275,Data_Validation!$A:$D,4,0)</f>
        <v>Camions détail</v>
      </c>
      <c r="W275" s="153" t="str">
        <f>+VLOOKUP($L275,Data_Validation!$A:$E,5,0)</f>
        <v>$</v>
      </c>
      <c r="X275" s="153">
        <f>+VLOOKUP($L275,Data_Validation!$A:$F,6,0)</f>
        <v>0</v>
      </c>
    </row>
    <row r="276" spans="1:24" ht="15" customHeight="1">
      <c r="A276" s="1430" t="s">
        <v>2827</v>
      </c>
      <c r="B276" s="1433">
        <v>5127</v>
      </c>
      <c r="C276" s="1432">
        <v>811177</v>
      </c>
      <c r="D276" s="1432">
        <v>0</v>
      </c>
      <c r="E276" s="1432">
        <v>811177</v>
      </c>
      <c r="F276" s="1430" t="s">
        <v>421</v>
      </c>
      <c r="G276" s="1430" t="s">
        <v>2024</v>
      </c>
      <c r="H276" s="1235"/>
      <c r="I276" s="1236"/>
      <c r="J276" s="1236"/>
      <c r="K276" s="1236"/>
      <c r="L276" s="150">
        <f t="shared" si="18"/>
        <v>5127</v>
      </c>
      <c r="M276" s="151" t="str">
        <f t="shared" si="19"/>
        <v>C/V - GOLF GTI</v>
      </c>
      <c r="N276" s="152">
        <f>+IF(OR($Q276=Parametres!$G$2,$Q276=Parametres!$G$3),I276,C276)</f>
        <v>811177</v>
      </c>
      <c r="O276" s="569">
        <f>+IF(OR($Q276=Parametres!$G$2,$Q276=Parametres!$G$3),J276,D276)</f>
        <v>0</v>
      </c>
      <c r="P276" s="152">
        <f>+IF(OR($Q276=Parametres!$G$2,$Q276=Parametres!$G$3),K276,E276)</f>
        <v>811177</v>
      </c>
      <c r="Q276" s="151" t="str">
        <f t="shared" si="21"/>
        <v>6-Coût des ventes</v>
      </c>
      <c r="R276" s="150" t="str">
        <f t="shared" si="21"/>
        <v>4127</v>
      </c>
      <c r="S276" s="151">
        <f t="shared" si="21"/>
        <v>0</v>
      </c>
      <c r="T276" s="153">
        <f>+VLOOKUP($L276,Data_Validation!$A:$D,1,0)</f>
        <v>5127</v>
      </c>
      <c r="U276" s="153" t="str">
        <f>+VLOOKUP($L276,Data_Validation!$A:$D,3,0)</f>
        <v>Véhicules neufs</v>
      </c>
      <c r="V276" s="153" t="str">
        <f>+VLOOKUP($L276,Data_Validation!$A:$D,4,0)</f>
        <v>Autos détail</v>
      </c>
      <c r="W276" s="153" t="str">
        <f>+VLOOKUP($L276,Data_Validation!$A:$E,5,0)</f>
        <v>$</v>
      </c>
      <c r="X276" s="153">
        <f>+VLOOKUP($L276,Data_Validation!$A:$F,6,0)</f>
        <v>0</v>
      </c>
    </row>
    <row r="277" spans="1:24" ht="15" customHeight="1">
      <c r="A277" s="1430" t="s">
        <v>2846</v>
      </c>
      <c r="B277" s="1433">
        <v>5131</v>
      </c>
      <c r="C277" s="1432">
        <v>8100987.5599999996</v>
      </c>
      <c r="D277" s="1432">
        <v>1197036.8899999999</v>
      </c>
      <c r="E277" s="1432">
        <v>9298024.4499999993</v>
      </c>
      <c r="F277" s="1430" t="s">
        <v>421</v>
      </c>
      <c r="G277" s="1430" t="s">
        <v>1992</v>
      </c>
      <c r="H277" s="1235"/>
      <c r="I277" s="1236"/>
      <c r="J277" s="1236"/>
      <c r="K277" s="1236"/>
      <c r="L277" s="150">
        <f t="shared" si="18"/>
        <v>5131</v>
      </c>
      <c r="M277" s="151" t="str">
        <f t="shared" si="19"/>
        <v>C/V - TIGUAN LWB</v>
      </c>
      <c r="N277" s="152">
        <f>+IF(OR($Q277=Parametres!$G$2,$Q277=Parametres!$G$3),I277,C277)</f>
        <v>8100987.5599999996</v>
      </c>
      <c r="O277" s="569">
        <f>+IF(OR($Q277=Parametres!$G$2,$Q277=Parametres!$G$3),J277,D277)</f>
        <v>1197036.8899999999</v>
      </c>
      <c r="P277" s="152">
        <f>+IF(OR($Q277=Parametres!$G$2,$Q277=Parametres!$G$3),K277,E277)</f>
        <v>9298024.4499999993</v>
      </c>
      <c r="Q277" s="151" t="str">
        <f t="shared" si="21"/>
        <v>6-Coût des ventes</v>
      </c>
      <c r="R277" s="150" t="str">
        <f t="shared" si="21"/>
        <v>4131</v>
      </c>
      <c r="S277" s="151">
        <f t="shared" si="21"/>
        <v>0</v>
      </c>
      <c r="T277" s="153">
        <f>+VLOOKUP($L277,Data_Validation!$A:$D,1,0)</f>
        <v>5131</v>
      </c>
      <c r="U277" s="153" t="str">
        <f>+VLOOKUP($L277,Data_Validation!$A:$D,3,0)</f>
        <v>Véhicules neufs</v>
      </c>
      <c r="V277" s="153" t="str">
        <f>+VLOOKUP($L277,Data_Validation!$A:$D,4,0)</f>
        <v>Camions détail</v>
      </c>
      <c r="W277" s="153" t="str">
        <f>+VLOOKUP($L277,Data_Validation!$A:$E,5,0)</f>
        <v>$</v>
      </c>
      <c r="X277" s="153">
        <f>+VLOOKUP($L277,Data_Validation!$A:$F,6,0)</f>
        <v>0</v>
      </c>
    </row>
    <row r="278" spans="1:24" ht="15" customHeight="1">
      <c r="A278" s="1430" t="s">
        <v>2829</v>
      </c>
      <c r="B278" s="1433">
        <v>5135</v>
      </c>
      <c r="C278" s="1432">
        <v>352313.35</v>
      </c>
      <c r="D278" s="1432">
        <v>0</v>
      </c>
      <c r="E278" s="1432">
        <v>352313.35</v>
      </c>
      <c r="F278" s="1430" t="s">
        <v>421</v>
      </c>
      <c r="G278" s="1430" t="s">
        <v>2497</v>
      </c>
      <c r="H278" s="1235"/>
      <c r="I278" s="1236"/>
      <c r="J278" s="1236"/>
      <c r="K278" s="1236"/>
      <c r="L278" s="150">
        <f t="shared" si="18"/>
        <v>5135</v>
      </c>
      <c r="M278" s="151" t="str">
        <f t="shared" si="19"/>
        <v>C/V - EGOLF</v>
      </c>
      <c r="N278" s="152">
        <f>+IF(OR($Q278=Parametres!$G$2,$Q278=Parametres!$G$3),I278,C278)</f>
        <v>352313.35</v>
      </c>
      <c r="O278" s="569">
        <f>+IF(OR($Q278=Parametres!$G$2,$Q278=Parametres!$G$3),J278,D278)</f>
        <v>0</v>
      </c>
      <c r="P278" s="152">
        <f>+IF(OR($Q278=Parametres!$G$2,$Q278=Parametres!$G$3),K278,E278)</f>
        <v>352313.35</v>
      </c>
      <c r="Q278" s="151" t="str">
        <f t="shared" si="21"/>
        <v>6-Coût des ventes</v>
      </c>
      <c r="R278" s="150" t="str">
        <f t="shared" si="21"/>
        <v>84135</v>
      </c>
      <c r="S278" s="151">
        <f t="shared" si="21"/>
        <v>0</v>
      </c>
      <c r="T278" s="153">
        <f>+VLOOKUP($L278,Data_Validation!$A:$D,1,0)</f>
        <v>5135</v>
      </c>
      <c r="U278" s="153" t="str">
        <f>+VLOOKUP($L278,Data_Validation!$A:$D,3,0)</f>
        <v>Véhicules neufs</v>
      </c>
      <c r="V278" s="153" t="str">
        <f>+VLOOKUP($L278,Data_Validation!$A:$D,4,0)</f>
        <v>Autos détail</v>
      </c>
      <c r="W278" s="153" t="str">
        <f>+VLOOKUP($L278,Data_Validation!$A:$E,5,0)</f>
        <v>$</v>
      </c>
      <c r="X278" s="153">
        <f>+VLOOKUP($L278,Data_Validation!$A:$F,6,0)</f>
        <v>0</v>
      </c>
    </row>
    <row r="279" spans="1:24" ht="15.75" customHeight="1">
      <c r="A279" s="1430" t="s">
        <v>2447</v>
      </c>
      <c r="B279" s="1433">
        <v>5137</v>
      </c>
      <c r="C279" s="1432">
        <v>666045.81999999995</v>
      </c>
      <c r="D279" s="1432">
        <v>0</v>
      </c>
      <c r="E279" s="1432">
        <v>666045.81999999995</v>
      </c>
      <c r="F279" s="1430" t="s">
        <v>421</v>
      </c>
      <c r="G279" s="1430" t="s">
        <v>2433</v>
      </c>
      <c r="H279" s="1235"/>
      <c r="I279" s="1236"/>
      <c r="J279" s="1236"/>
      <c r="K279" s="1236"/>
      <c r="L279" s="150">
        <f t="shared" si="18"/>
        <v>5137</v>
      </c>
      <c r="M279" s="151" t="str">
        <f t="shared" si="19"/>
        <v>C/V - VW FLOTTE/VENTE ENTR/EMPLOYE/VEH DEMONS</v>
      </c>
      <c r="N279" s="152">
        <f>+IF(OR($Q279=Parametres!$G$2,$Q279=Parametres!$G$3),I279,C279)</f>
        <v>666045.81999999995</v>
      </c>
      <c r="O279" s="569">
        <f>+IF(OR($Q279=Parametres!$G$2,$Q279=Parametres!$G$3),J279,D279)</f>
        <v>0</v>
      </c>
      <c r="P279" s="152">
        <f>+IF(OR($Q279=Parametres!$G$2,$Q279=Parametres!$G$3),K279,E279)</f>
        <v>666045.81999999995</v>
      </c>
      <c r="Q279" s="151" t="str">
        <f t="shared" si="21"/>
        <v>6-Coût des ventes</v>
      </c>
      <c r="R279" s="150" t="str">
        <f t="shared" si="21"/>
        <v>4137</v>
      </c>
      <c r="S279" s="151">
        <f t="shared" si="21"/>
        <v>0</v>
      </c>
      <c r="T279" s="153">
        <f>+VLOOKUP($L279,Data_Validation!$A:$D,1,0)</f>
        <v>5137</v>
      </c>
      <c r="U279" s="153" t="str">
        <f>+VLOOKUP($L279,Data_Validation!$A:$D,3,0)</f>
        <v>Véhicules neufs</v>
      </c>
      <c r="V279" s="153" t="str">
        <f>+VLOOKUP($L279,Data_Validation!$A:$D,4,0)</f>
        <v>Flottes</v>
      </c>
      <c r="W279" s="153" t="str">
        <f>+VLOOKUP($L279,Data_Validation!$A:$E,5,0)</f>
        <v>$</v>
      </c>
      <c r="X279" s="153">
        <f>+VLOOKUP($L279,Data_Validation!$A:$F,6,0)</f>
        <v>0</v>
      </c>
    </row>
    <row r="280" spans="1:24" ht="15" customHeight="1">
      <c r="A280" s="1430" t="s">
        <v>2447</v>
      </c>
      <c r="B280" s="1433">
        <v>5139</v>
      </c>
      <c r="C280" s="1432">
        <v>2171234.6</v>
      </c>
      <c r="D280" s="1432">
        <v>305216.05</v>
      </c>
      <c r="E280" s="1432">
        <v>2476450.65</v>
      </c>
      <c r="F280" s="1430" t="s">
        <v>421</v>
      </c>
      <c r="G280" s="1430" t="s">
        <v>1998</v>
      </c>
      <c r="H280" s="1235"/>
      <c r="I280" s="1236"/>
      <c r="J280" s="1236"/>
      <c r="K280" s="1236"/>
      <c r="L280" s="150">
        <f t="shared" si="18"/>
        <v>5139</v>
      </c>
      <c r="M280" s="151" t="str">
        <f t="shared" si="19"/>
        <v>C/V - VW FLOTTE/VENTE ENTR/EMPLOYE/VEH DEMONS</v>
      </c>
      <c r="N280" s="152">
        <f>+IF(OR($Q280=Parametres!$G$2,$Q280=Parametres!$G$3),I280,C280)</f>
        <v>2171234.6</v>
      </c>
      <c r="O280" s="569">
        <f>+IF(OR($Q280=Parametres!$G$2,$Q280=Parametres!$G$3),J280,D280)</f>
        <v>305216.05</v>
      </c>
      <c r="P280" s="152">
        <f>+IF(OR($Q280=Parametres!$G$2,$Q280=Parametres!$G$3),K280,E280)</f>
        <v>2476450.65</v>
      </c>
      <c r="Q280" s="151" t="str">
        <f t="shared" si="21"/>
        <v>6-Coût des ventes</v>
      </c>
      <c r="R280" s="150" t="str">
        <f t="shared" si="21"/>
        <v>4139</v>
      </c>
      <c r="S280" s="151">
        <f t="shared" si="21"/>
        <v>0</v>
      </c>
      <c r="T280" s="153">
        <f>+VLOOKUP($L280,Data_Validation!$A:$D,1,0)</f>
        <v>5139</v>
      </c>
      <c r="U280" s="153" t="str">
        <f>+VLOOKUP($L280,Data_Validation!$A:$D,3,0)</f>
        <v>Véhicules neufs</v>
      </c>
      <c r="V280" s="153" t="str">
        <f>+VLOOKUP($L280,Data_Validation!$A:$D,4,0)</f>
        <v>Ex-Démos et courtoisies</v>
      </c>
      <c r="W280" s="153" t="str">
        <f>+VLOOKUP($L280,Data_Validation!$A:$E,5,0)</f>
        <v>$</v>
      </c>
      <c r="X280" s="153">
        <f>+VLOOKUP($L280,Data_Validation!$A:$F,6,0)</f>
        <v>0</v>
      </c>
    </row>
    <row r="281" spans="1:24" ht="15" customHeight="1">
      <c r="A281" s="1430" t="s">
        <v>2843</v>
      </c>
      <c r="B281" s="1433">
        <v>5201</v>
      </c>
      <c r="C281" s="1432">
        <v>6045018.8099999996</v>
      </c>
      <c r="D281" s="1432">
        <v>675894.02</v>
      </c>
      <c r="E281" s="1432">
        <v>6720912.8300000001</v>
      </c>
      <c r="F281" s="1430" t="s">
        <v>421</v>
      </c>
      <c r="G281" s="1430" t="s">
        <v>1994</v>
      </c>
      <c r="H281" s="1235"/>
      <c r="I281" s="1236"/>
      <c r="J281" s="1236"/>
      <c r="K281" s="1236"/>
      <c r="L281" s="150">
        <f t="shared" si="18"/>
        <v>5201</v>
      </c>
      <c r="M281" s="151" t="str">
        <f t="shared" si="19"/>
        <v>C/V - VEH.USAGE VW DETAIL CERTIFIE</v>
      </c>
      <c r="N281" s="152">
        <f>+IF(OR($Q281=Parametres!$G$2,$Q281=Parametres!$G$3),I281,C281)</f>
        <v>6045018.8099999996</v>
      </c>
      <c r="O281" s="569">
        <f>+IF(OR($Q281=Parametres!$G$2,$Q281=Parametres!$G$3),J281,D281)</f>
        <v>675894.02</v>
      </c>
      <c r="P281" s="152">
        <f>+IF(OR($Q281=Parametres!$G$2,$Q281=Parametres!$G$3),K281,E281)</f>
        <v>6720912.8300000001</v>
      </c>
      <c r="Q281" s="151" t="str">
        <f t="shared" si="21"/>
        <v>6-Coût des ventes</v>
      </c>
      <c r="R281" s="150" t="str">
        <f t="shared" si="21"/>
        <v>4201</v>
      </c>
      <c r="S281" s="151">
        <f t="shared" si="21"/>
        <v>0</v>
      </c>
      <c r="T281" s="153">
        <f>+VLOOKUP($L281,Data_Validation!$A:$D,1,0)</f>
        <v>5201</v>
      </c>
      <c r="U281" s="153" t="str">
        <f>+VLOOKUP($L281,Data_Validation!$A:$D,3,0)</f>
        <v>Véhicules usagés</v>
      </c>
      <c r="V281" s="153" t="str">
        <f>+VLOOKUP($L281,Data_Validation!$A:$D,4,0)</f>
        <v>Certifié</v>
      </c>
      <c r="W281" s="153" t="str">
        <f>+VLOOKUP($L281,Data_Validation!$A:$E,5,0)</f>
        <v>$</v>
      </c>
      <c r="X281" s="153">
        <f>+VLOOKUP($L281,Data_Validation!$A:$F,6,0)</f>
        <v>0</v>
      </c>
    </row>
    <row r="282" spans="1:24" ht="15" customHeight="1">
      <c r="A282" s="1430" t="s">
        <v>2821</v>
      </c>
      <c r="B282" s="1433">
        <v>5203</v>
      </c>
      <c r="C282" s="1432">
        <v>640479.30000000005</v>
      </c>
      <c r="D282" s="1432">
        <v>74538.42</v>
      </c>
      <c r="E282" s="1432">
        <v>715017.72</v>
      </c>
      <c r="F282" s="1430" t="s">
        <v>421</v>
      </c>
      <c r="G282" s="1430" t="s">
        <v>1994</v>
      </c>
      <c r="H282" s="1235"/>
      <c r="I282" s="1235"/>
      <c r="J282" s="1235"/>
      <c r="K282" s="1235"/>
      <c r="L282" s="150">
        <f t="shared" si="18"/>
        <v>5203</v>
      </c>
      <c r="M282" s="151" t="str">
        <f t="shared" si="19"/>
        <v>C/V - RECOND USAGE VW CERT.</v>
      </c>
      <c r="N282" s="152">
        <f>+IF(OR($Q282=Parametres!$G$2,$Q282=Parametres!$G$3),I282,C282)</f>
        <v>640479.30000000005</v>
      </c>
      <c r="O282" s="569">
        <f>+IF(OR($Q282=Parametres!$G$2,$Q282=Parametres!$G$3),J282,D282)</f>
        <v>74538.42</v>
      </c>
      <c r="P282" s="152">
        <f>+IF(OR($Q282=Parametres!$G$2,$Q282=Parametres!$G$3),K282,E282)</f>
        <v>715017.72</v>
      </c>
      <c r="Q282" s="151" t="str">
        <f t="shared" si="21"/>
        <v>6-Coût des ventes</v>
      </c>
      <c r="R282" s="150" t="str">
        <f t="shared" si="21"/>
        <v>4201</v>
      </c>
      <c r="S282" s="151">
        <f t="shared" si="21"/>
        <v>0</v>
      </c>
      <c r="T282" s="153">
        <f>+VLOOKUP($L282,Data_Validation!$A:$D,1,0)</f>
        <v>5203</v>
      </c>
      <c r="U282" s="153" t="str">
        <f>+VLOOKUP($L282,Data_Validation!$A:$D,3,0)</f>
        <v>Véhicules usagés</v>
      </c>
      <c r="V282" s="153" t="str">
        <f>+VLOOKUP($L282,Data_Validation!$A:$D,4,0)</f>
        <v>Certifié</v>
      </c>
      <c r="W282" s="153" t="str">
        <f>+VLOOKUP($L282,Data_Validation!$A:$E,5,0)</f>
        <v>$</v>
      </c>
      <c r="X282" s="153">
        <f>+VLOOKUP($L282,Data_Validation!$A:$F,6,0)</f>
        <v>0</v>
      </c>
    </row>
    <row r="283" spans="1:24" ht="15.75" customHeight="1">
      <c r="A283" s="1430" t="s">
        <v>2609</v>
      </c>
      <c r="B283" s="1433">
        <v>5211</v>
      </c>
      <c r="C283" s="1432">
        <v>2940</v>
      </c>
      <c r="D283" s="1432">
        <v>585</v>
      </c>
      <c r="E283" s="1432">
        <v>3525</v>
      </c>
      <c r="F283" s="1430" t="s">
        <v>421</v>
      </c>
      <c r="G283" s="1430" t="s">
        <v>2435</v>
      </c>
      <c r="H283" s="1235"/>
      <c r="I283" s="1235"/>
      <c r="J283" s="1235"/>
      <c r="K283" s="1235"/>
      <c r="L283" s="150">
        <f t="shared" si="18"/>
        <v>5211</v>
      </c>
      <c r="M283" s="151" t="str">
        <f t="shared" si="19"/>
        <v>C/V - VW USAGES DETAIL</v>
      </c>
      <c r="N283" s="152">
        <f>+IF(OR($Q283=Parametres!$G$2,$Q283=Parametres!$G$3),I283,C283)</f>
        <v>2940</v>
      </c>
      <c r="O283" s="569">
        <f>+IF(OR($Q283=Parametres!$G$2,$Q283=Parametres!$G$3),J283,D283)</f>
        <v>585</v>
      </c>
      <c r="P283" s="152">
        <f>+IF(OR($Q283=Parametres!$G$2,$Q283=Parametres!$G$3),K283,E283)</f>
        <v>3525</v>
      </c>
      <c r="Q283" s="151" t="str">
        <f t="shared" si="21"/>
        <v>6-Coût des ventes</v>
      </c>
      <c r="R283" s="150" t="str">
        <f t="shared" si="21"/>
        <v>4211</v>
      </c>
      <c r="S283" s="151">
        <f t="shared" si="21"/>
        <v>0</v>
      </c>
      <c r="T283" s="153">
        <f>+VLOOKUP($L283,Data_Validation!$A:$D,1,0)</f>
        <v>5211</v>
      </c>
      <c r="U283" s="153" t="str">
        <f>+VLOOKUP($L283,Data_Validation!$A:$D,3,0)</f>
        <v>Véhicules usagés</v>
      </c>
      <c r="V283" s="153" t="str">
        <f>+VLOOKUP($L283,Data_Validation!$A:$D,4,0)</f>
        <v>Non Certifié</v>
      </c>
      <c r="W283" s="153" t="str">
        <f>+VLOOKUP($L283,Data_Validation!$A:$E,5,0)</f>
        <v>$</v>
      </c>
      <c r="X283" s="153">
        <f>+VLOOKUP($L283,Data_Validation!$A:$F,6,0)</f>
        <v>0</v>
      </c>
    </row>
    <row r="284" spans="1:24" ht="15" customHeight="1">
      <c r="A284" s="1430" t="s">
        <v>2449</v>
      </c>
      <c r="B284" s="1433">
        <v>5213</v>
      </c>
      <c r="C284" s="1432">
        <v>-970.41</v>
      </c>
      <c r="D284" s="1432">
        <v>0</v>
      </c>
      <c r="E284" s="1432">
        <v>-970.41</v>
      </c>
      <c r="F284" s="1430" t="s">
        <v>421</v>
      </c>
      <c r="G284" s="1430" t="s">
        <v>2435</v>
      </c>
      <c r="H284" s="1235"/>
      <c r="I284" s="1235"/>
      <c r="J284" s="1235"/>
      <c r="K284" s="1235"/>
      <c r="L284" s="150">
        <f t="shared" si="18"/>
        <v>5213</v>
      </c>
      <c r="M284" s="151" t="str">
        <f t="shared" si="19"/>
        <v>C/V - RECOND. USAGE VW DETAIL</v>
      </c>
      <c r="N284" s="152">
        <f>+IF(OR($Q284=Parametres!$G$2,$Q284=Parametres!$G$3),I284,C284)</f>
        <v>-970.41</v>
      </c>
      <c r="O284" s="569">
        <f>+IF(OR($Q284=Parametres!$G$2,$Q284=Parametres!$G$3),J284,D284)</f>
        <v>0</v>
      </c>
      <c r="P284" s="152">
        <f>+IF(OR($Q284=Parametres!$G$2,$Q284=Parametres!$G$3),K284,E284)</f>
        <v>-970.41</v>
      </c>
      <c r="Q284" s="151" t="str">
        <f t="shared" si="21"/>
        <v>6-Coût des ventes</v>
      </c>
      <c r="R284" s="150" t="str">
        <f t="shared" si="21"/>
        <v>4211</v>
      </c>
      <c r="S284" s="151">
        <f t="shared" si="21"/>
        <v>0</v>
      </c>
      <c r="T284" s="153">
        <f>+VLOOKUP($L284,Data_Validation!$A:$D,1,0)</f>
        <v>5213</v>
      </c>
      <c r="U284" s="153" t="str">
        <f>+VLOOKUP($L284,Data_Validation!$A:$D,3,0)</f>
        <v>Véhicules usagés</v>
      </c>
      <c r="V284" s="153" t="str">
        <f>+VLOOKUP($L284,Data_Validation!$A:$D,4,0)</f>
        <v>Non Certifié</v>
      </c>
      <c r="W284" s="153" t="str">
        <f>+VLOOKUP($L284,Data_Validation!$A:$E,5,0)</f>
        <v>$</v>
      </c>
      <c r="X284" s="153">
        <f>+VLOOKUP($L284,Data_Validation!$A:$F,6,0)</f>
        <v>0</v>
      </c>
    </row>
    <row r="285" spans="1:24" ht="15" customHeight="1">
      <c r="A285" s="1430" t="s">
        <v>2031</v>
      </c>
      <c r="B285" s="1433">
        <v>5285</v>
      </c>
      <c r="C285" s="1432">
        <v>182702.3</v>
      </c>
      <c r="D285" s="1432">
        <v>7265</v>
      </c>
      <c r="E285" s="1432">
        <v>189967.3</v>
      </c>
      <c r="F285" s="1430" t="s">
        <v>421</v>
      </c>
      <c r="G285" s="1430" t="s">
        <v>2033</v>
      </c>
      <c r="H285" s="1235"/>
      <c r="I285" s="1235"/>
      <c r="J285" s="1235"/>
      <c r="K285" s="1235"/>
      <c r="L285" s="150">
        <f t="shared" si="18"/>
        <v>5285</v>
      </c>
      <c r="M285" s="151" t="str">
        <f t="shared" si="19"/>
        <v>VEH. D'OCC. AUTRE DETAIL</v>
      </c>
      <c r="N285" s="152">
        <f>+IF(OR($Q285=Parametres!$G$2,$Q285=Parametres!$G$3),I285,C285)</f>
        <v>182702.3</v>
      </c>
      <c r="O285" s="569">
        <f>+IF(OR($Q285=Parametres!$G$2,$Q285=Parametres!$G$3),J285,D285)</f>
        <v>7265</v>
      </c>
      <c r="P285" s="152">
        <f>+IF(OR($Q285=Parametres!$G$2,$Q285=Parametres!$G$3),K285,E285)</f>
        <v>189967.3</v>
      </c>
      <c r="Q285" s="151" t="str">
        <f t="shared" si="21"/>
        <v>6-Coût des ventes</v>
      </c>
      <c r="R285" s="150" t="str">
        <f t="shared" si="21"/>
        <v>4261</v>
      </c>
      <c r="S285" s="151">
        <f t="shared" si="21"/>
        <v>0</v>
      </c>
      <c r="T285" s="153">
        <f>+VLOOKUP($L285,Data_Validation!$A:$D,1,0)</f>
        <v>5285</v>
      </c>
      <c r="U285" s="153" t="str">
        <f>+VLOOKUP($L285,Data_Validation!$A:$D,3,0)</f>
        <v>Véhicules usagés</v>
      </c>
      <c r="V285" s="153" t="str">
        <f>+VLOOKUP($L285,Data_Validation!$A:$D,4,0)</f>
        <v>Non Certifié</v>
      </c>
      <c r="W285" s="153" t="str">
        <f>+VLOOKUP($L285,Data_Validation!$A:$E,5,0)</f>
        <v>$</v>
      </c>
      <c r="X285" s="153">
        <f>+VLOOKUP($L285,Data_Validation!$A:$F,6,0)</f>
        <v>0</v>
      </c>
    </row>
    <row r="286" spans="1:24" ht="15" customHeight="1">
      <c r="A286" s="1430" t="s">
        <v>2663</v>
      </c>
      <c r="B286" s="1433">
        <v>5286</v>
      </c>
      <c r="C286" s="1432">
        <v>6552.1</v>
      </c>
      <c r="D286" s="1432">
        <v>1685.37</v>
      </c>
      <c r="E286" s="1432">
        <v>8237.4699999999993</v>
      </c>
      <c r="F286" s="1430" t="s">
        <v>421</v>
      </c>
      <c r="G286" s="1430" t="s">
        <v>2033</v>
      </c>
      <c r="H286" s="1235"/>
      <c r="I286" s="1235"/>
      <c r="J286" s="1235"/>
      <c r="K286" s="1235"/>
      <c r="L286" s="150">
        <f t="shared" si="18"/>
        <v>5286</v>
      </c>
      <c r="M286" s="151" t="str">
        <f t="shared" si="19"/>
        <v>RECOND. AUTRE DETAIL</v>
      </c>
      <c r="N286" s="152">
        <f>+IF(OR($Q286=Parametres!$G$2,$Q286=Parametres!$G$3),I286,C286)</f>
        <v>6552.1</v>
      </c>
      <c r="O286" s="569">
        <f>+IF(OR($Q286=Parametres!$G$2,$Q286=Parametres!$G$3),J286,D286)</f>
        <v>1685.37</v>
      </c>
      <c r="P286" s="152">
        <f>+IF(OR($Q286=Parametres!$G$2,$Q286=Parametres!$G$3),K286,E286)</f>
        <v>8237.4699999999993</v>
      </c>
      <c r="Q286" s="151" t="str">
        <f t="shared" si="21"/>
        <v>6-Coût des ventes</v>
      </c>
      <c r="R286" s="150" t="str">
        <f t="shared" si="21"/>
        <v>4261</v>
      </c>
      <c r="S286" s="151">
        <f t="shared" si="21"/>
        <v>0</v>
      </c>
      <c r="T286" s="153">
        <f>+VLOOKUP($L286,Data_Validation!$A:$D,1,0)</f>
        <v>5286</v>
      </c>
      <c r="U286" s="153" t="str">
        <f>+VLOOKUP($L286,Data_Validation!$A:$D,3,0)</f>
        <v>Véhicules usagés</v>
      </c>
      <c r="V286" s="153" t="str">
        <f>+VLOOKUP($L286,Data_Validation!$A:$D,4,0)</f>
        <v>Non Certifié</v>
      </c>
      <c r="W286" s="153" t="str">
        <f>+VLOOKUP($L286,Data_Validation!$A:$E,5,0)</f>
        <v>$</v>
      </c>
      <c r="X286" s="153">
        <f>+VLOOKUP($L286,Data_Validation!$A:$F,6,0)</f>
        <v>0</v>
      </c>
    </row>
    <row r="287" spans="1:24" ht="15.75" customHeight="1">
      <c r="A287" s="1430" t="s">
        <v>1999</v>
      </c>
      <c r="B287" s="1433">
        <v>5291</v>
      </c>
      <c r="C287" s="1432">
        <v>4098073.44</v>
      </c>
      <c r="D287" s="1432">
        <v>448317.08</v>
      </c>
      <c r="E287" s="1432">
        <v>4546390.5199999996</v>
      </c>
      <c r="F287" s="1430" t="s">
        <v>421</v>
      </c>
      <c r="G287" s="1430" t="s">
        <v>2001</v>
      </c>
      <c r="H287" s="1235"/>
      <c r="I287" s="1235"/>
      <c r="J287" s="1235"/>
      <c r="K287" s="1235"/>
      <c r="L287" s="150">
        <f t="shared" si="18"/>
        <v>5291</v>
      </c>
      <c r="M287" s="151" t="str">
        <f t="shared" si="19"/>
        <v>VEH. D'OCC. AU GROS</v>
      </c>
      <c r="N287" s="152">
        <f>+IF(OR($Q287=Parametres!$G$2,$Q287=Parametres!$G$3),I287,C287)</f>
        <v>4098073.44</v>
      </c>
      <c r="O287" s="569">
        <f>+IF(OR($Q287=Parametres!$G$2,$Q287=Parametres!$G$3),J287,D287)</f>
        <v>448317.08</v>
      </c>
      <c r="P287" s="152">
        <f>+IF(OR($Q287=Parametres!$G$2,$Q287=Parametres!$G$3),K287,E287)</f>
        <v>4546390.5199999996</v>
      </c>
      <c r="Q287" s="151" t="str">
        <f t="shared" si="21"/>
        <v>6-Coût des ventes</v>
      </c>
      <c r="R287" s="150" t="str">
        <f t="shared" si="21"/>
        <v>4281</v>
      </c>
      <c r="S287" s="151">
        <f t="shared" si="21"/>
        <v>0</v>
      </c>
      <c r="T287" s="153">
        <f>+VLOOKUP($L287,Data_Validation!$A:$D,1,0)</f>
        <v>5291</v>
      </c>
      <c r="U287" s="153" t="str">
        <f>+VLOOKUP($L287,Data_Validation!$A:$D,3,0)</f>
        <v>Véhicules usagés</v>
      </c>
      <c r="V287" s="153" t="str">
        <f>+VLOOKUP($L287,Data_Validation!$A:$D,4,0)</f>
        <v>Ventes au Gros</v>
      </c>
      <c r="W287" s="153" t="str">
        <f>+VLOOKUP($L287,Data_Validation!$A:$E,5,0)</f>
        <v>$</v>
      </c>
      <c r="X287" s="153">
        <f>+VLOOKUP($L287,Data_Validation!$A:$F,6,0)</f>
        <v>0</v>
      </c>
    </row>
    <row r="288" spans="1:24" ht="15" customHeight="1">
      <c r="A288" s="1430" t="s">
        <v>2819</v>
      </c>
      <c r="B288" s="1433">
        <v>5401</v>
      </c>
      <c r="C288" s="1432">
        <v>184259.42</v>
      </c>
      <c r="D288" s="1432">
        <v>31472.86</v>
      </c>
      <c r="E288" s="1432">
        <v>215732.28</v>
      </c>
      <c r="F288" s="1430" t="s">
        <v>421</v>
      </c>
      <c r="G288" s="1430" t="s">
        <v>2005</v>
      </c>
      <c r="H288" s="1235"/>
      <c r="I288" s="1235"/>
      <c r="J288" s="1235"/>
      <c r="K288" s="1235"/>
      <c r="L288" s="150">
        <f t="shared" si="18"/>
        <v>5401</v>
      </c>
      <c r="M288" s="151" t="str">
        <f t="shared" si="19"/>
        <v>COUT M.O. MECANIQUE CLIENTS</v>
      </c>
      <c r="N288" s="152">
        <f>+IF(OR($Q288=Parametres!$G$2,$Q288=Parametres!$G$3),I288,C288)</f>
        <v>184259.42</v>
      </c>
      <c r="O288" s="569">
        <f>+IF(OR($Q288=Parametres!$G$2,$Q288=Parametres!$G$3),J288,D288)</f>
        <v>31472.86</v>
      </c>
      <c r="P288" s="152">
        <f>+IF(OR($Q288=Parametres!$G$2,$Q288=Parametres!$G$3),K288,E288)</f>
        <v>215732.28</v>
      </c>
      <c r="Q288" s="151" t="str">
        <f t="shared" si="21"/>
        <v>6-Coût des ventes</v>
      </c>
      <c r="R288" s="150" t="str">
        <f t="shared" si="21"/>
        <v>4401</v>
      </c>
      <c r="S288" s="151">
        <f t="shared" si="21"/>
        <v>0</v>
      </c>
      <c r="T288" s="153">
        <f>+VLOOKUP($L288,Data_Validation!$A:$D,1,0)</f>
        <v>5401</v>
      </c>
      <c r="U288" s="153" t="str">
        <f>+VLOOKUP($L288,Data_Validation!$A:$D,3,0)</f>
        <v>Service</v>
      </c>
      <c r="V288" s="153" t="str">
        <f>+VLOOKUP($L288,Data_Validation!$A:$D,4,0)</f>
        <v>M/O Client</v>
      </c>
      <c r="W288" s="153" t="str">
        <f>+VLOOKUP($L288,Data_Validation!$A:$E,5,0)</f>
        <v>$</v>
      </c>
      <c r="X288" s="153">
        <f>+VLOOKUP($L288,Data_Validation!$A:$F,6,0)</f>
        <v>0</v>
      </c>
    </row>
    <row r="289" spans="1:24" ht="15" customHeight="1">
      <c r="A289" s="1430" t="s">
        <v>2557</v>
      </c>
      <c r="B289" s="1433">
        <v>5402</v>
      </c>
      <c r="C289" s="1432">
        <v>2705.46</v>
      </c>
      <c r="D289" s="1432">
        <v>72.98</v>
      </c>
      <c r="E289" s="1432">
        <v>2778.44</v>
      </c>
      <c r="F289" s="1430" t="s">
        <v>421</v>
      </c>
      <c r="G289" s="1430" t="s">
        <v>2185</v>
      </c>
      <c r="H289" s="1233"/>
      <c r="I289" s="1234"/>
      <c r="J289" s="1234"/>
      <c r="K289" s="1234"/>
      <c r="L289" s="150">
        <f t="shared" si="18"/>
        <v>5402</v>
      </c>
      <c r="M289" s="151" t="str">
        <f t="shared" si="19"/>
        <v>C/V - M.O. ESTHETIQUE CLIENT</v>
      </c>
      <c r="N289" s="152">
        <f>+IF(OR($Q289=Parametres!$G$2,$Q289=Parametres!$G$3),I289,C289)</f>
        <v>2705.46</v>
      </c>
      <c r="O289" s="569">
        <f>+IF(OR($Q289=Parametres!$G$2,$Q289=Parametres!$G$3),J289,D289)</f>
        <v>72.98</v>
      </c>
      <c r="P289" s="152">
        <f>+IF(OR($Q289=Parametres!$G$2,$Q289=Parametres!$G$3),K289,E289)</f>
        <v>2778.44</v>
      </c>
      <c r="Q289" s="151" t="str">
        <f t="shared" si="21"/>
        <v>6-Coût des ventes</v>
      </c>
      <c r="R289" s="150" t="str">
        <f t="shared" si="21"/>
        <v>4402</v>
      </c>
      <c r="S289" s="151">
        <f t="shared" si="21"/>
        <v>0</v>
      </c>
      <c r="T289" s="153">
        <f>+VLOOKUP($L289,Data_Validation!$A:$D,1,0)</f>
        <v>5402</v>
      </c>
      <c r="U289" s="153" t="str">
        <f>+VLOOKUP($L289,Data_Validation!$A:$D,3,0)</f>
        <v>Service</v>
      </c>
      <c r="V289" s="153" t="str">
        <f>+VLOOKUP($L289,Data_Validation!$A:$D,4,0)</f>
        <v>M/O Esthétique</v>
      </c>
      <c r="W289" s="153" t="str">
        <f>+VLOOKUP($L289,Data_Validation!$A:$E,5,0)</f>
        <v>$</v>
      </c>
      <c r="X289" s="153">
        <f>+VLOOKUP($L289,Data_Validation!$A:$F,6,0)</f>
        <v>0</v>
      </c>
    </row>
    <row r="290" spans="1:24" ht="15" customHeight="1">
      <c r="A290" s="1430" t="s">
        <v>2782</v>
      </c>
      <c r="B290" s="1433">
        <v>5403</v>
      </c>
      <c r="C290" s="1432">
        <v>149061.15</v>
      </c>
      <c r="D290" s="1432">
        <v>12201.35</v>
      </c>
      <c r="E290" s="1432">
        <v>161262.5</v>
      </c>
      <c r="F290" s="1430" t="s">
        <v>421</v>
      </c>
      <c r="G290" s="1430" t="s">
        <v>2035</v>
      </c>
      <c r="H290" s="1233"/>
      <c r="I290" s="1234"/>
      <c r="J290" s="1234"/>
      <c r="K290" s="1234"/>
      <c r="L290" s="150">
        <f t="shared" si="18"/>
        <v>5403</v>
      </c>
      <c r="M290" s="151" t="str">
        <f t="shared" si="19"/>
        <v>COUT MEC VENTE GARANTIE MANUF</v>
      </c>
      <c r="N290" s="152">
        <f>+IF(OR($Q290=Parametres!$G$2,$Q290=Parametres!$G$3),I290,C290)</f>
        <v>149061.15</v>
      </c>
      <c r="O290" s="569">
        <f>+IF(OR($Q290=Parametres!$G$2,$Q290=Parametres!$G$3),J290,D290)</f>
        <v>12201.35</v>
      </c>
      <c r="P290" s="152">
        <f>+IF(OR($Q290=Parametres!$G$2,$Q290=Parametres!$G$3),K290,E290)</f>
        <v>161262.5</v>
      </c>
      <c r="Q290" s="151" t="str">
        <f t="shared" ref="Q290:S305" si="22">+F290</f>
        <v>6-Coût des ventes</v>
      </c>
      <c r="R290" s="150" t="str">
        <f t="shared" si="22"/>
        <v>4403</v>
      </c>
      <c r="S290" s="151">
        <f t="shared" si="22"/>
        <v>0</v>
      </c>
      <c r="T290" s="153">
        <f>+VLOOKUP($L290,Data_Validation!$A:$D,1,0)</f>
        <v>5403</v>
      </c>
      <c r="U290" s="153" t="str">
        <f>+VLOOKUP($L290,Data_Validation!$A:$D,3,0)</f>
        <v>Service</v>
      </c>
      <c r="V290" s="153" t="str">
        <f>+VLOOKUP($L290,Data_Validation!$A:$D,4,0)</f>
        <v>M/O Garantie</v>
      </c>
      <c r="W290" s="153" t="str">
        <f>+VLOOKUP($L290,Data_Validation!$A:$E,5,0)</f>
        <v>$</v>
      </c>
      <c r="X290" s="153">
        <f>+VLOOKUP($L290,Data_Validation!$A:$F,6,0)</f>
        <v>0</v>
      </c>
    </row>
    <row r="291" spans="1:24" ht="15.75" customHeight="1">
      <c r="A291" s="1430" t="s">
        <v>2768</v>
      </c>
      <c r="B291" s="1433">
        <v>5405</v>
      </c>
      <c r="C291" s="1432">
        <v>131618.45000000001</v>
      </c>
      <c r="D291" s="1432">
        <v>13027.63</v>
      </c>
      <c r="E291" s="1432">
        <v>144646.07999999999</v>
      </c>
      <c r="F291" s="1430" t="s">
        <v>421</v>
      </c>
      <c r="G291" s="1430" t="s">
        <v>2045</v>
      </c>
      <c r="H291" s="1233"/>
      <c r="I291" s="1234"/>
      <c r="J291" s="1234"/>
      <c r="K291" s="1234"/>
      <c r="L291" s="150">
        <f t="shared" si="18"/>
        <v>5405</v>
      </c>
      <c r="M291" s="151" t="str">
        <f t="shared" si="19"/>
        <v>C D V VENTES M OINTERNE</v>
      </c>
      <c r="N291" s="152">
        <f>+IF(OR($Q291=Parametres!$G$2,$Q291=Parametres!$G$3),I291,C291)</f>
        <v>131618.45000000001</v>
      </c>
      <c r="O291" s="569">
        <f>+IF(OR($Q291=Parametres!$G$2,$Q291=Parametres!$G$3),J291,D291)</f>
        <v>13027.63</v>
      </c>
      <c r="P291" s="152">
        <f>+IF(OR($Q291=Parametres!$G$2,$Q291=Parametres!$G$3),K291,E291)</f>
        <v>144646.07999999999</v>
      </c>
      <c r="Q291" s="151" t="str">
        <f t="shared" si="22"/>
        <v>6-Coût des ventes</v>
      </c>
      <c r="R291" s="150" t="str">
        <f t="shared" si="22"/>
        <v>4405</v>
      </c>
      <c r="S291" s="151">
        <f t="shared" si="22"/>
        <v>0</v>
      </c>
      <c r="T291" s="153">
        <f>+VLOOKUP($L291,Data_Validation!$A:$D,1,0)</f>
        <v>5405</v>
      </c>
      <c r="U291" s="153" t="str">
        <f>+VLOOKUP($L291,Data_Validation!$A:$D,3,0)</f>
        <v>Service</v>
      </c>
      <c r="V291" s="153" t="str">
        <f>+VLOOKUP($L291,Data_Validation!$A:$D,4,0)</f>
        <v>M/O Interne</v>
      </c>
      <c r="W291" s="153" t="str">
        <f>+VLOOKUP($L291,Data_Validation!$A:$E,5,0)</f>
        <v>$</v>
      </c>
      <c r="X291" s="153">
        <f>+VLOOKUP($L291,Data_Validation!$A:$F,6,0)</f>
        <v>0</v>
      </c>
    </row>
    <row r="292" spans="1:24" ht="15" customHeight="1">
      <c r="A292" s="1430" t="s">
        <v>2716</v>
      </c>
      <c r="B292" s="1433">
        <v>5416</v>
      </c>
      <c r="C292" s="1432">
        <v>27957.68</v>
      </c>
      <c r="D292" s="1432">
        <v>1889.6</v>
      </c>
      <c r="E292" s="1432">
        <v>29847.279999999999</v>
      </c>
      <c r="F292" s="1430" t="s">
        <v>421</v>
      </c>
      <c r="G292" s="1430" t="s">
        <v>2718</v>
      </c>
      <c r="H292" s="1233"/>
      <c r="I292" s="1234"/>
      <c r="J292" s="1234"/>
      <c r="K292" s="1234"/>
      <c r="L292" s="150">
        <f t="shared" si="18"/>
        <v>5416</v>
      </c>
      <c r="M292" s="151" t="str">
        <f t="shared" si="19"/>
        <v>C/V - TEMPS MORT M.O. SERVICE</v>
      </c>
      <c r="N292" s="152">
        <f>+IF(OR($Q292=Parametres!$G$2,$Q292=Parametres!$G$3),I292,C292)</f>
        <v>27957.68</v>
      </c>
      <c r="O292" s="152">
        <f>+IF(OR($Q292=Parametres!$G$2,$Q292=Parametres!$G$3),J292,D292)</f>
        <v>1889.6</v>
      </c>
      <c r="P292" s="152">
        <f>+IF(OR($Q292=Parametres!$G$2,$Q292=Parametres!$G$3),K292,E292)</f>
        <v>29847.279999999999</v>
      </c>
      <c r="Q292" s="151" t="str">
        <f t="shared" si="22"/>
        <v>6-Coût des ventes</v>
      </c>
      <c r="R292" s="150" t="str">
        <f t="shared" si="22"/>
        <v>4416</v>
      </c>
      <c r="S292" s="151">
        <f t="shared" si="22"/>
        <v>0</v>
      </c>
      <c r="T292" s="153">
        <f>+VLOOKUP($L292,Data_Validation!$A:$D,1,0)</f>
        <v>5416</v>
      </c>
      <c r="U292" s="153" t="str">
        <f>+VLOOKUP($L292,Data_Validation!$A:$D,3,0)</f>
        <v>Service</v>
      </c>
      <c r="V292" s="153" t="str">
        <f>+VLOOKUP($L292,Data_Validation!$A:$D,4,0)</f>
        <v>Ajustement M/O</v>
      </c>
      <c r="W292" s="153" t="str">
        <f>+VLOOKUP($L292,Data_Validation!$A:$E,5,0)</f>
        <v>$</v>
      </c>
      <c r="X292" s="153">
        <f>+VLOOKUP($L292,Data_Validation!$A:$F,6,0)</f>
        <v>0</v>
      </c>
    </row>
    <row r="293" spans="1:24" ht="15" customHeight="1">
      <c r="A293" s="1430" t="s">
        <v>2064</v>
      </c>
      <c r="B293" s="1433">
        <v>5451</v>
      </c>
      <c r="C293" s="1432">
        <v>108985.82</v>
      </c>
      <c r="D293" s="1432">
        <v>16123.27</v>
      </c>
      <c r="E293" s="1432">
        <v>125109.09</v>
      </c>
      <c r="F293" s="1430" t="s">
        <v>421</v>
      </c>
      <c r="G293" s="1430" t="s">
        <v>2066</v>
      </c>
      <c r="H293" s="1233"/>
      <c r="I293" s="1234"/>
      <c r="J293" s="1234"/>
      <c r="K293" s="1234"/>
      <c r="L293" s="150">
        <f t="shared" si="18"/>
        <v>5451</v>
      </c>
      <c r="M293" s="151" t="str">
        <f t="shared" si="19"/>
        <v>CARBURANT/HUILE/GRAISSE</v>
      </c>
      <c r="N293" s="152">
        <f>+IF(OR($Q293=Parametres!$G$2,$Q293=Parametres!$G$3),I293,C293)</f>
        <v>108985.82</v>
      </c>
      <c r="O293" s="152">
        <f>+IF(OR($Q293=Parametres!$G$2,$Q293=Parametres!$G$3),J293,D293)</f>
        <v>16123.27</v>
      </c>
      <c r="P293" s="152">
        <f>+IF(OR($Q293=Parametres!$G$2,$Q293=Parametres!$G$3),K293,E293)</f>
        <v>125109.09</v>
      </c>
      <c r="Q293" s="151" t="str">
        <f t="shared" si="22"/>
        <v>6-Coût des ventes</v>
      </c>
      <c r="R293" s="150" t="str">
        <f t="shared" si="22"/>
        <v>4782</v>
      </c>
      <c r="S293" s="151">
        <f t="shared" si="22"/>
        <v>0</v>
      </c>
      <c r="T293" s="153">
        <f>+VLOOKUP($L293,Data_Validation!$A:$D,1,0)</f>
        <v>5451</v>
      </c>
      <c r="U293" s="153" t="str">
        <f>+VLOOKUP($L293,Data_Validation!$A:$D,3,0)</f>
        <v>Pièces</v>
      </c>
      <c r="V293" s="153" t="str">
        <f>+VLOOKUP($L293,Data_Validation!$A:$D,4,0)</f>
        <v>Huiles et Graisse</v>
      </c>
      <c r="W293" s="153" t="str">
        <f>+VLOOKUP($L293,Data_Validation!$A:$E,5,0)</f>
        <v>$</v>
      </c>
      <c r="X293" s="153">
        <f>+VLOOKUP($L293,Data_Validation!$A:$F,6,0)</f>
        <v>0</v>
      </c>
    </row>
    <row r="294" spans="1:24" ht="15" customHeight="1">
      <c r="A294" s="1430" t="s">
        <v>2137</v>
      </c>
      <c r="B294" s="1433">
        <v>5491</v>
      </c>
      <c r="C294" s="1432">
        <v>9132.92</v>
      </c>
      <c r="D294" s="1432">
        <v>810</v>
      </c>
      <c r="E294" s="1432">
        <v>9942.92</v>
      </c>
      <c r="F294" s="1430" t="s">
        <v>421</v>
      </c>
      <c r="G294" s="1430" t="s">
        <v>2138</v>
      </c>
      <c r="H294" s="1233"/>
      <c r="I294" s="1234"/>
      <c r="J294" s="1234"/>
      <c r="K294" s="1234"/>
      <c r="L294" s="150">
        <f t="shared" si="18"/>
        <v>5491</v>
      </c>
      <c r="M294" s="151" t="str">
        <f t="shared" si="19"/>
        <v>REPARATION SOUS-LOC. - GENERAL</v>
      </c>
      <c r="N294" s="152">
        <f>+IF(OR($Q294=Parametres!$G$2,$Q294=Parametres!$G$3),I294,C294)</f>
        <v>9132.92</v>
      </c>
      <c r="O294" s="152">
        <f>+IF(OR($Q294=Parametres!$G$2,$Q294=Parametres!$G$3),J294,D294)</f>
        <v>810</v>
      </c>
      <c r="P294" s="152">
        <f>+IF(OR($Q294=Parametres!$G$2,$Q294=Parametres!$G$3),K294,E294)</f>
        <v>9942.92</v>
      </c>
      <c r="Q294" s="151" t="str">
        <f t="shared" si="22"/>
        <v>6-Coût des ventes</v>
      </c>
      <c r="R294" s="150" t="str">
        <f t="shared" si="22"/>
        <v>4491</v>
      </c>
      <c r="S294" s="151">
        <f t="shared" si="22"/>
        <v>0</v>
      </c>
      <c r="T294" s="153">
        <f>+VLOOKUP($L294,Data_Validation!$A:$D,1,0)</f>
        <v>5491</v>
      </c>
      <c r="U294" s="153" t="str">
        <f>+VLOOKUP($L294,Data_Validation!$A:$D,3,0)</f>
        <v>Service</v>
      </c>
      <c r="V294" s="153" t="str">
        <f>+VLOOKUP($L294,Data_Validation!$A:$D,4,0)</f>
        <v>Sous-traitement</v>
      </c>
      <c r="W294" s="153" t="str">
        <f>+VLOOKUP($L294,Data_Validation!$A:$E,5,0)</f>
        <v>$</v>
      </c>
      <c r="X294" s="153">
        <f>+VLOOKUP($L294,Data_Validation!$A:$F,6,0)</f>
        <v>0</v>
      </c>
    </row>
    <row r="295" spans="1:24" ht="15" customHeight="1">
      <c r="A295" s="1430" t="s">
        <v>2678</v>
      </c>
      <c r="B295" s="1433">
        <v>5493</v>
      </c>
      <c r="C295" s="1432">
        <v>18962.509999999998</v>
      </c>
      <c r="D295" s="1432">
        <v>580</v>
      </c>
      <c r="E295" s="1432">
        <v>19542.509999999998</v>
      </c>
      <c r="F295" s="1430" t="s">
        <v>421</v>
      </c>
      <c r="G295" s="1430" t="s">
        <v>2161</v>
      </c>
      <c r="H295" s="1233"/>
      <c r="I295" s="1234"/>
      <c r="J295" s="1234"/>
      <c r="K295" s="1234"/>
      <c r="L295" s="150">
        <f t="shared" si="18"/>
        <v>5493</v>
      </c>
      <c r="M295" s="151" t="str">
        <f t="shared" si="19"/>
        <v>C/V - SOUS-TRAITANCE GARANTIE</v>
      </c>
      <c r="N295" s="152">
        <f>+IF(OR($Q295=Parametres!$G$2,$Q295=Parametres!$G$3),I295,C295)</f>
        <v>18962.509999999998</v>
      </c>
      <c r="O295" s="152">
        <f>+IF(OR($Q295=Parametres!$G$2,$Q295=Parametres!$G$3),J295,D295)</f>
        <v>580</v>
      </c>
      <c r="P295" s="152">
        <f>+IF(OR($Q295=Parametres!$G$2,$Q295=Parametres!$G$3),K295,E295)</f>
        <v>19542.509999999998</v>
      </c>
      <c r="Q295" s="151" t="str">
        <f t="shared" si="22"/>
        <v>6-Coût des ventes</v>
      </c>
      <c r="R295" s="150" t="str">
        <f t="shared" si="22"/>
        <v>4493</v>
      </c>
      <c r="S295" s="151">
        <f t="shared" si="22"/>
        <v>0</v>
      </c>
      <c r="T295" s="153">
        <f>+VLOOKUP($L295,Data_Validation!$A:$D,1,0)</f>
        <v>5493</v>
      </c>
      <c r="U295" s="153" t="str">
        <f>+VLOOKUP($L295,Data_Validation!$A:$D,3,0)</f>
        <v>Service</v>
      </c>
      <c r="V295" s="153" t="str">
        <f>+VLOOKUP($L295,Data_Validation!$A:$D,4,0)</f>
        <v>Sous-traitement</v>
      </c>
      <c r="W295" s="153" t="str">
        <f>+VLOOKUP($L295,Data_Validation!$A:$E,5,0)</f>
        <v>$</v>
      </c>
      <c r="X295" s="153">
        <f>+VLOOKUP($L295,Data_Validation!$A:$F,6,0)</f>
        <v>0</v>
      </c>
    </row>
    <row r="296" spans="1:24" ht="15" customHeight="1">
      <c r="A296" s="1430" t="s">
        <v>2780</v>
      </c>
      <c r="B296" s="1433">
        <v>5495</v>
      </c>
      <c r="C296" s="1432">
        <v>134566.74</v>
      </c>
      <c r="D296" s="1432">
        <v>16842.990000000002</v>
      </c>
      <c r="E296" s="1432">
        <v>151409.73000000001</v>
      </c>
      <c r="F296" s="1430" t="s">
        <v>421</v>
      </c>
      <c r="G296" s="1430" t="s">
        <v>2080</v>
      </c>
      <c r="H296" s="1233"/>
      <c r="I296" s="1234"/>
      <c r="J296" s="1234"/>
      <c r="K296" s="1234"/>
      <c r="L296" s="150">
        <f t="shared" si="18"/>
        <v>5495</v>
      </c>
      <c r="M296" s="151" t="str">
        <f t="shared" si="19"/>
        <v>C/V - SOUS-TRAITANCE INTERNE</v>
      </c>
      <c r="N296" s="152">
        <f>+IF(OR($Q296=Parametres!$G$2,$Q296=Parametres!$G$3),I296,C296)</f>
        <v>134566.74</v>
      </c>
      <c r="O296" s="152">
        <f>+IF(OR($Q296=Parametres!$G$2,$Q296=Parametres!$G$3),J296,D296)</f>
        <v>16842.990000000002</v>
      </c>
      <c r="P296" s="152">
        <f>+IF(OR($Q296=Parametres!$G$2,$Q296=Parametres!$G$3),K296,E296)</f>
        <v>151409.73000000001</v>
      </c>
      <c r="Q296" s="151" t="str">
        <f t="shared" si="22"/>
        <v>6-Coût des ventes</v>
      </c>
      <c r="R296" s="150" t="str">
        <f t="shared" si="22"/>
        <v>4495</v>
      </c>
      <c r="S296" s="151">
        <f t="shared" si="22"/>
        <v>0</v>
      </c>
      <c r="T296" s="153">
        <f>+VLOOKUP($L296,Data_Validation!$A:$D,1,0)</f>
        <v>5495</v>
      </c>
      <c r="U296" s="153" t="str">
        <f>+VLOOKUP($L296,Data_Validation!$A:$D,3,0)</f>
        <v>Service</v>
      </c>
      <c r="V296" s="153" t="str">
        <f>+VLOOKUP($L296,Data_Validation!$A:$D,4,0)</f>
        <v>Sous-traitement</v>
      </c>
      <c r="W296" s="153" t="str">
        <f>+VLOOKUP($L296,Data_Validation!$A:$E,5,0)</f>
        <v>$</v>
      </c>
      <c r="X296" s="153">
        <f>+VLOOKUP($L296,Data_Validation!$A:$F,6,0)</f>
        <v>0</v>
      </c>
    </row>
    <row r="297" spans="1:24" ht="15.75" customHeight="1">
      <c r="A297" s="1430" t="s">
        <v>2789</v>
      </c>
      <c r="B297" s="1433">
        <v>5591</v>
      </c>
      <c r="C297" s="1432">
        <v>109282.03</v>
      </c>
      <c r="D297" s="1432">
        <v>24242.38</v>
      </c>
      <c r="E297" s="1432">
        <v>133524.41</v>
      </c>
      <c r="F297" s="1430" t="s">
        <v>421</v>
      </c>
      <c r="G297" s="1430" t="s">
        <v>2063</v>
      </c>
      <c r="H297" s="1233"/>
      <c r="I297" s="1234"/>
      <c r="J297" s="1234"/>
      <c r="K297" s="1234"/>
      <c r="L297" s="150">
        <f t="shared" si="18"/>
        <v>5591</v>
      </c>
      <c r="M297" s="151" t="str">
        <f t="shared" si="19"/>
        <v>C/V - S-TRAIT. CARR.</v>
      </c>
      <c r="N297" s="152">
        <f>+IF(OR($Q297=Parametres!$G$2,$Q297=Parametres!$G$3),I297,C297)</f>
        <v>109282.03</v>
      </c>
      <c r="O297" s="152">
        <f>+IF(OR($Q297=Parametres!$G$2,$Q297=Parametres!$G$3),J297,D297)</f>
        <v>24242.38</v>
      </c>
      <c r="P297" s="152">
        <f>+IF(OR($Q297=Parametres!$G$2,$Q297=Parametres!$G$3),K297,E297)</f>
        <v>133524.41</v>
      </c>
      <c r="Q297" s="151" t="str">
        <f t="shared" si="22"/>
        <v>6-Coût des ventes</v>
      </c>
      <c r="R297" s="150" t="str">
        <f t="shared" si="22"/>
        <v>4591</v>
      </c>
      <c r="S297" s="151">
        <f t="shared" si="22"/>
        <v>0</v>
      </c>
      <c r="T297" s="153">
        <f>+VLOOKUP($L297,Data_Validation!$A:$D,1,0)</f>
        <v>5591</v>
      </c>
      <c r="U297" s="153" t="str">
        <f>+VLOOKUP($L297,Data_Validation!$A:$D,3,0)</f>
        <v>Carrosserie</v>
      </c>
      <c r="V297" s="153" t="str">
        <f>+VLOOKUP($L297,Data_Validation!$A:$D,4,0)</f>
        <v>M/O Sous-traitement</v>
      </c>
      <c r="W297" s="153" t="str">
        <f>+VLOOKUP($L297,Data_Validation!$A:$E,5,0)</f>
        <v>$</v>
      </c>
      <c r="X297" s="153">
        <f>+VLOOKUP($L297,Data_Validation!$A:$F,6,0)</f>
        <v>0</v>
      </c>
    </row>
    <row r="298" spans="1:24" ht="15" customHeight="1">
      <c r="A298" s="1430" t="s">
        <v>2799</v>
      </c>
      <c r="B298" s="1433">
        <v>5593</v>
      </c>
      <c r="C298" s="1432">
        <v>403522.21</v>
      </c>
      <c r="D298" s="1432">
        <v>43974.29</v>
      </c>
      <c r="E298" s="1432">
        <v>447496.5</v>
      </c>
      <c r="F298" s="1430" t="s">
        <v>421</v>
      </c>
      <c r="G298" s="1430" t="s">
        <v>2061</v>
      </c>
      <c r="H298" s="1233"/>
      <c r="I298" s="1234"/>
      <c r="J298" s="1234"/>
      <c r="K298" s="1234"/>
      <c r="L298" s="150">
        <f t="shared" si="18"/>
        <v>5593</v>
      </c>
      <c r="M298" s="151" t="str">
        <f t="shared" si="19"/>
        <v>C/V - S-TRAIT.GARANTIE CARROS.</v>
      </c>
      <c r="N298" s="152">
        <f>+IF(OR($Q298=Parametres!$G$2,$Q298=Parametres!$G$3),I298,C298)</f>
        <v>403522.21</v>
      </c>
      <c r="O298" s="152">
        <f>+IF(OR($Q298=Parametres!$G$2,$Q298=Parametres!$G$3),J298,D298)</f>
        <v>43974.29</v>
      </c>
      <c r="P298" s="152">
        <f>+IF(OR($Q298=Parametres!$G$2,$Q298=Parametres!$G$3),K298,E298)</f>
        <v>447496.5</v>
      </c>
      <c r="Q298" s="151" t="str">
        <f t="shared" si="22"/>
        <v>6-Coût des ventes</v>
      </c>
      <c r="R298" s="150" t="str">
        <f t="shared" si="22"/>
        <v>4593</v>
      </c>
      <c r="S298" s="151">
        <f t="shared" si="22"/>
        <v>0</v>
      </c>
      <c r="T298" s="153">
        <f>+VLOOKUP($L298,Data_Validation!$A:$D,1,0)</f>
        <v>5593</v>
      </c>
      <c r="U298" s="153" t="str">
        <f>+VLOOKUP($L298,Data_Validation!$A:$D,3,0)</f>
        <v>Carrosserie</v>
      </c>
      <c r="V298" s="153" t="str">
        <f>+VLOOKUP($L298,Data_Validation!$A:$D,4,0)</f>
        <v>M/O Sous-traitement</v>
      </c>
      <c r="W298" s="153" t="str">
        <f>+VLOOKUP($L298,Data_Validation!$A:$E,5,0)</f>
        <v>$</v>
      </c>
      <c r="X298" s="153">
        <f>+VLOOKUP($L298,Data_Validation!$A:$F,6,0)</f>
        <v>0</v>
      </c>
    </row>
    <row r="299" spans="1:24" ht="15" customHeight="1">
      <c r="A299" s="1430" t="s">
        <v>2758</v>
      </c>
      <c r="B299" s="1433">
        <v>5595</v>
      </c>
      <c r="C299" s="1432">
        <v>56443.09</v>
      </c>
      <c r="D299" s="1432">
        <v>8697.56</v>
      </c>
      <c r="E299" s="1432">
        <v>65140.65</v>
      </c>
      <c r="F299" s="1430" t="s">
        <v>421</v>
      </c>
      <c r="G299" s="1430" t="s">
        <v>2094</v>
      </c>
      <c r="H299" s="1233"/>
      <c r="I299" s="1234"/>
      <c r="J299" s="1234"/>
      <c r="K299" s="1234"/>
      <c r="L299" s="150">
        <f t="shared" si="18"/>
        <v>5595</v>
      </c>
      <c r="M299" s="151" t="str">
        <f t="shared" si="19"/>
        <v>C/V - S-TRAIT.INTERNE CARROS.</v>
      </c>
      <c r="N299" s="152">
        <f>+IF(OR($Q299=Parametres!$G$2,$Q299=Parametres!$G$3),I299,C299)</f>
        <v>56443.09</v>
      </c>
      <c r="O299" s="152">
        <f>+IF(OR($Q299=Parametres!$G$2,$Q299=Parametres!$G$3),J299,D299)</f>
        <v>8697.56</v>
      </c>
      <c r="P299" s="152">
        <f>+IF(OR($Q299=Parametres!$G$2,$Q299=Parametres!$G$3),K299,E299)</f>
        <v>65140.65</v>
      </c>
      <c r="Q299" s="151" t="str">
        <f t="shared" si="22"/>
        <v>6-Coût des ventes</v>
      </c>
      <c r="R299" s="150" t="str">
        <f t="shared" si="22"/>
        <v>4595</v>
      </c>
      <c r="S299" s="151">
        <f t="shared" si="22"/>
        <v>0</v>
      </c>
      <c r="T299" s="153">
        <f>+VLOOKUP($L299,Data_Validation!$A:$D,1,0)</f>
        <v>5595</v>
      </c>
      <c r="U299" s="153" t="str">
        <f>+VLOOKUP($L299,Data_Validation!$A:$D,3,0)</f>
        <v>Carrosserie</v>
      </c>
      <c r="V299" s="153" t="str">
        <f>+VLOOKUP($L299,Data_Validation!$A:$D,4,0)</f>
        <v>M/O Sous-traitement</v>
      </c>
      <c r="W299" s="153" t="str">
        <f>+VLOOKUP($L299,Data_Validation!$A:$E,5,0)</f>
        <v>$</v>
      </c>
      <c r="X299" s="153">
        <f>+VLOOKUP($L299,Data_Validation!$A:$F,6,0)</f>
        <v>0</v>
      </c>
    </row>
    <row r="300" spans="1:24" ht="15" customHeight="1">
      <c r="A300" s="1430" t="s">
        <v>2823</v>
      </c>
      <c r="B300" s="1433">
        <v>5701</v>
      </c>
      <c r="C300" s="1432">
        <v>320223.68</v>
      </c>
      <c r="D300" s="1432">
        <v>46777.42</v>
      </c>
      <c r="E300" s="1432">
        <v>367001.1</v>
      </c>
      <c r="F300" s="1430" t="s">
        <v>421</v>
      </c>
      <c r="G300" s="1430" t="s">
        <v>2017</v>
      </c>
      <c r="H300" s="1233"/>
      <c r="I300" s="1234"/>
      <c r="J300" s="1234"/>
      <c r="K300" s="1234"/>
      <c r="L300" s="150">
        <f t="shared" si="18"/>
        <v>5701</v>
      </c>
      <c r="M300" s="151" t="str">
        <f t="shared" si="19"/>
        <v>C/V - PIECE/ACC B.R. CLIENT VW</v>
      </c>
      <c r="N300" s="152">
        <f>+IF(OR($Q300=Parametres!$G$2,$Q300=Parametres!$G$3),I300,C300)</f>
        <v>320223.68</v>
      </c>
      <c r="O300" s="152">
        <f>+IF(OR($Q300=Parametres!$G$2,$Q300=Parametres!$G$3),J300,D300)</f>
        <v>46777.42</v>
      </c>
      <c r="P300" s="152">
        <f>+IF(OR($Q300=Parametres!$G$2,$Q300=Parametres!$G$3),K300,E300)</f>
        <v>367001.1</v>
      </c>
      <c r="Q300" s="151" t="str">
        <f t="shared" si="22"/>
        <v>6-Coût des ventes</v>
      </c>
      <c r="R300" s="150" t="str">
        <f t="shared" si="22"/>
        <v>4701</v>
      </c>
      <c r="S300" s="151">
        <f t="shared" si="22"/>
        <v>0</v>
      </c>
      <c r="T300" s="153">
        <f>+VLOOKUP($L300,Data_Validation!$A:$D,1,0)</f>
        <v>5701</v>
      </c>
      <c r="U300" s="153" t="str">
        <f>+VLOOKUP($L300,Data_Validation!$A:$D,3,0)</f>
        <v>Pièces</v>
      </c>
      <c r="V300" s="153" t="str">
        <f>+VLOOKUP($L300,Data_Validation!$A:$D,4,0)</f>
        <v>Pièces Ro Clients</v>
      </c>
      <c r="W300" s="153" t="str">
        <f>+VLOOKUP($L300,Data_Validation!$A:$E,5,0)</f>
        <v>$</v>
      </c>
      <c r="X300" s="153">
        <f>+VLOOKUP($L300,Data_Validation!$A:$F,6,0)</f>
        <v>0</v>
      </c>
    </row>
    <row r="301" spans="1:24" ht="15.75" customHeight="1">
      <c r="A301" s="1430" t="s">
        <v>2649</v>
      </c>
      <c r="B301" s="1433">
        <v>5702</v>
      </c>
      <c r="C301" s="1432">
        <v>3180.71</v>
      </c>
      <c r="D301" s="1432">
        <v>691.62</v>
      </c>
      <c r="E301" s="1432">
        <v>3872.33</v>
      </c>
      <c r="F301" s="1430" t="s">
        <v>421</v>
      </c>
      <c r="G301" s="1430" t="s">
        <v>2144</v>
      </c>
      <c r="H301" s="1233"/>
      <c r="I301" s="1234"/>
      <c r="J301" s="1234"/>
      <c r="K301" s="1234"/>
      <c r="L301" s="150">
        <f t="shared" si="18"/>
        <v>5702</v>
      </c>
      <c r="M301" s="151" t="str">
        <f t="shared" si="19"/>
        <v>C/V - SHOP SUPPLY VW</v>
      </c>
      <c r="N301" s="152">
        <f>+IF(OR($Q301=Parametres!$G$2,$Q301=Parametres!$G$3),I301,C301)</f>
        <v>3180.71</v>
      </c>
      <c r="O301" s="152">
        <f>+IF(OR($Q301=Parametres!$G$2,$Q301=Parametres!$G$3),J301,D301)</f>
        <v>691.62</v>
      </c>
      <c r="P301" s="152">
        <f>+IF(OR($Q301=Parametres!$G$2,$Q301=Parametres!$G$3),K301,E301)</f>
        <v>3872.33</v>
      </c>
      <c r="Q301" s="151" t="str">
        <f t="shared" si="22"/>
        <v>6-Coût des ventes</v>
      </c>
      <c r="R301" s="150" t="str">
        <f t="shared" si="22"/>
        <v>4702</v>
      </c>
      <c r="S301" s="151">
        <f t="shared" si="22"/>
        <v>0</v>
      </c>
      <c r="T301" s="153">
        <f>+VLOOKUP($L301,Data_Validation!$A:$D,1,0)</f>
        <v>5702</v>
      </c>
      <c r="U301" s="153" t="str">
        <f>+VLOOKUP($L301,Data_Validation!$A:$D,3,0)</f>
        <v>Service</v>
      </c>
      <c r="V301" s="153" t="str">
        <f>+VLOOKUP($L301,Data_Validation!$A:$D,4,0)</f>
        <v>M/O Client</v>
      </c>
      <c r="W301" s="153" t="str">
        <f>+VLOOKUP($L301,Data_Validation!$A:$E,5,0)</f>
        <v>$</v>
      </c>
      <c r="X301" s="153">
        <f>+VLOOKUP($L301,Data_Validation!$A:$F,6,0)</f>
        <v>0</v>
      </c>
    </row>
    <row r="302" spans="1:24" ht="15" customHeight="1">
      <c r="A302" s="1430" t="s">
        <v>2805</v>
      </c>
      <c r="B302" s="1433">
        <v>5703</v>
      </c>
      <c r="C302" s="1432">
        <v>522334.62</v>
      </c>
      <c r="D302" s="1432">
        <v>36543.800000000003</v>
      </c>
      <c r="E302" s="1432">
        <v>558878.42000000004</v>
      </c>
      <c r="F302" s="1430" t="s">
        <v>421</v>
      </c>
      <c r="G302" s="1430" t="s">
        <v>2037</v>
      </c>
      <c r="H302" s="1233"/>
      <c r="I302" s="1234"/>
      <c r="J302" s="1234"/>
      <c r="K302" s="1234"/>
      <c r="L302" s="150">
        <f t="shared" si="18"/>
        <v>5703</v>
      </c>
      <c r="M302" s="151" t="str">
        <f t="shared" si="19"/>
        <v>C/V - PIECE/ACC B.R. GARANTIE VW</v>
      </c>
      <c r="N302" s="152">
        <f>+IF(OR($Q302=Parametres!$G$2,$Q302=Parametres!$G$3),I302,C302)</f>
        <v>522334.62</v>
      </c>
      <c r="O302" s="152">
        <f>+IF(OR($Q302=Parametres!$G$2,$Q302=Parametres!$G$3),J302,D302)</f>
        <v>36543.800000000003</v>
      </c>
      <c r="P302" s="152">
        <f>+IF(OR($Q302=Parametres!$G$2,$Q302=Parametres!$G$3),K302,E302)</f>
        <v>558878.42000000004</v>
      </c>
      <c r="Q302" s="151" t="str">
        <f t="shared" si="22"/>
        <v>6-Coût des ventes</v>
      </c>
      <c r="R302" s="150" t="str">
        <f t="shared" si="22"/>
        <v>4703</v>
      </c>
      <c r="S302" s="151">
        <f t="shared" si="22"/>
        <v>0</v>
      </c>
      <c r="T302" s="153">
        <f>+VLOOKUP($L302,Data_Validation!$A:$D,1,0)</f>
        <v>5703</v>
      </c>
      <c r="U302" s="153" t="str">
        <f>+VLOOKUP($L302,Data_Validation!$A:$D,3,0)</f>
        <v>Pièces</v>
      </c>
      <c r="V302" s="153" t="str">
        <f>+VLOOKUP($L302,Data_Validation!$A:$D,4,0)</f>
        <v>P/A Garantie</v>
      </c>
      <c r="W302" s="153" t="str">
        <f>+VLOOKUP($L302,Data_Validation!$A:$E,5,0)</f>
        <v>$</v>
      </c>
      <c r="X302" s="153">
        <f>+VLOOKUP($L302,Data_Validation!$A:$F,6,0)</f>
        <v>0</v>
      </c>
    </row>
    <row r="303" spans="1:24" ht="15" customHeight="1">
      <c r="A303" s="1430" t="s">
        <v>2802</v>
      </c>
      <c r="B303" s="1433">
        <v>5705</v>
      </c>
      <c r="C303" s="1432">
        <v>314091.75</v>
      </c>
      <c r="D303" s="1432">
        <v>40512.04</v>
      </c>
      <c r="E303" s="1432">
        <v>354603.79</v>
      </c>
      <c r="F303" s="1430" t="s">
        <v>421</v>
      </c>
      <c r="G303" s="1430" t="s">
        <v>2041</v>
      </c>
      <c r="H303" s="1233"/>
      <c r="I303" s="1234"/>
      <c r="J303" s="1234"/>
      <c r="K303" s="1234"/>
      <c r="L303" s="150">
        <f t="shared" si="18"/>
        <v>5705</v>
      </c>
      <c r="M303" s="151" t="str">
        <f t="shared" si="19"/>
        <v>C/V - PIECE/ACC B.R. INTERNE VW</v>
      </c>
      <c r="N303" s="152">
        <f>+IF(OR($Q303=Parametres!$G$2,$Q303=Parametres!$G$3),I303,C303)</f>
        <v>314091.75</v>
      </c>
      <c r="O303" s="152">
        <f>+IF(OR($Q303=Parametres!$G$2,$Q303=Parametres!$G$3),J303,D303)</f>
        <v>40512.04</v>
      </c>
      <c r="P303" s="152">
        <f>+IF(OR($Q303=Parametres!$G$2,$Q303=Parametres!$G$3),K303,E303)</f>
        <v>354603.79</v>
      </c>
      <c r="Q303" s="151" t="str">
        <f t="shared" si="22"/>
        <v>6-Coût des ventes</v>
      </c>
      <c r="R303" s="150" t="str">
        <f t="shared" si="22"/>
        <v>4705</v>
      </c>
      <c r="S303" s="151">
        <f t="shared" si="22"/>
        <v>0</v>
      </c>
      <c r="T303" s="153">
        <f>+VLOOKUP($L303,Data_Validation!$A:$D,1,0)</f>
        <v>5705</v>
      </c>
      <c r="U303" s="153" t="str">
        <f>+VLOOKUP($L303,Data_Validation!$A:$D,3,0)</f>
        <v>Pièces</v>
      </c>
      <c r="V303" s="153" t="str">
        <f>+VLOOKUP($L303,Data_Validation!$A:$D,4,0)</f>
        <v>Ventes Internes</v>
      </c>
      <c r="W303" s="153" t="str">
        <f>+VLOOKUP($L303,Data_Validation!$A:$E,5,0)</f>
        <v>$</v>
      </c>
      <c r="X303" s="153">
        <f>+VLOOKUP($L303,Data_Validation!$A:$F,6,0)</f>
        <v>0</v>
      </c>
    </row>
    <row r="304" spans="1:24" ht="15" customHeight="1">
      <c r="A304" s="1430" t="s">
        <v>2649</v>
      </c>
      <c r="B304" s="1433">
        <v>5706</v>
      </c>
      <c r="C304" s="1432">
        <v>4275.96</v>
      </c>
      <c r="D304" s="1432">
        <v>705.19</v>
      </c>
      <c r="E304" s="1432">
        <v>4981.1499999999996</v>
      </c>
      <c r="F304" s="1430" t="s">
        <v>421</v>
      </c>
      <c r="G304" s="1430" t="s">
        <v>2162</v>
      </c>
      <c r="H304" s="1233"/>
      <c r="I304" s="1234"/>
      <c r="J304" s="1234"/>
      <c r="K304" s="1234"/>
      <c r="L304" s="150">
        <f t="shared" si="18"/>
        <v>5706</v>
      </c>
      <c r="M304" s="151" t="str">
        <f t="shared" si="19"/>
        <v>C/V - SHOP SUPPLY VW</v>
      </c>
      <c r="N304" s="152">
        <f>+IF(OR($Q304=Parametres!$G$2,$Q304=Parametres!$G$3),I304,C304)</f>
        <v>4275.96</v>
      </c>
      <c r="O304" s="152">
        <f>+IF(OR($Q304=Parametres!$G$2,$Q304=Parametres!$G$3),J304,D304)</f>
        <v>705.19</v>
      </c>
      <c r="P304" s="152">
        <f>+IF(OR($Q304=Parametres!$G$2,$Q304=Parametres!$G$3),K304,E304)</f>
        <v>4981.1499999999996</v>
      </c>
      <c r="Q304" s="151" t="str">
        <f t="shared" si="22"/>
        <v>6-Coût des ventes</v>
      </c>
      <c r="R304" s="150" t="str">
        <f t="shared" si="22"/>
        <v>4706</v>
      </c>
      <c r="S304" s="151">
        <f t="shared" si="22"/>
        <v>0</v>
      </c>
      <c r="T304" s="153">
        <f>+VLOOKUP($L304,Data_Validation!$A:$D,1,0)</f>
        <v>5706</v>
      </c>
      <c r="U304" s="153" t="str">
        <f>+VLOOKUP($L304,Data_Validation!$A:$D,3,0)</f>
        <v>Service</v>
      </c>
      <c r="V304" s="153" t="str">
        <f>+VLOOKUP($L304,Data_Validation!$A:$D,4,0)</f>
        <v>M/O Interne</v>
      </c>
      <c r="W304" s="153" t="str">
        <f>+VLOOKUP($L304,Data_Validation!$A:$E,5,0)</f>
        <v>$</v>
      </c>
      <c r="X304" s="153">
        <f>+VLOOKUP($L304,Data_Validation!$A:$F,6,0)</f>
        <v>0</v>
      </c>
    </row>
    <row r="305" spans="1:24" ht="15.75" customHeight="1">
      <c r="A305" s="1430" t="s">
        <v>2451</v>
      </c>
      <c r="B305" s="1433">
        <v>5711</v>
      </c>
      <c r="C305" s="1432">
        <v>24810.32</v>
      </c>
      <c r="D305" s="1432">
        <v>4125.91</v>
      </c>
      <c r="E305" s="1432">
        <v>28936.23</v>
      </c>
      <c r="F305" s="1430" t="s">
        <v>421</v>
      </c>
      <c r="G305" s="1430" t="s">
        <v>2108</v>
      </c>
      <c r="H305" s="1233"/>
      <c r="I305" s="1234"/>
      <c r="J305" s="1234"/>
      <c r="K305" s="1234"/>
      <c r="L305" s="150">
        <f t="shared" si="18"/>
        <v>5711</v>
      </c>
      <c r="M305" s="151" t="str">
        <f t="shared" si="19"/>
        <v>C/V - AUTRE PIECE/ACC/CARR B.R. CLIENT</v>
      </c>
      <c r="N305" s="152">
        <f>+IF(OR($Q305=Parametres!$G$2,$Q305=Parametres!$G$3),I305,C305)</f>
        <v>24810.32</v>
      </c>
      <c r="O305" s="152">
        <f>+IF(OR($Q305=Parametres!$G$2,$Q305=Parametres!$G$3),J305,D305)</f>
        <v>4125.91</v>
      </c>
      <c r="P305" s="152">
        <f>+IF(OR($Q305=Parametres!$G$2,$Q305=Parametres!$G$3),K305,E305)</f>
        <v>28936.23</v>
      </c>
      <c r="Q305" s="151" t="str">
        <f t="shared" si="22"/>
        <v>6-Coût des ventes</v>
      </c>
      <c r="R305" s="150" t="str">
        <f t="shared" si="22"/>
        <v>4711</v>
      </c>
      <c r="S305" s="151">
        <f t="shared" si="22"/>
        <v>0</v>
      </c>
      <c r="T305" s="153">
        <f>+VLOOKUP($L305,Data_Validation!$A:$D,1,0)</f>
        <v>5711</v>
      </c>
      <c r="U305" s="153" t="str">
        <f>+VLOOKUP($L305,Data_Validation!$A:$D,3,0)</f>
        <v>Pièces</v>
      </c>
      <c r="V305" s="153" t="str">
        <f>+VLOOKUP($L305,Data_Validation!$A:$D,4,0)</f>
        <v>Pièces Ro Clients</v>
      </c>
      <c r="W305" s="153" t="str">
        <f>+VLOOKUP($L305,Data_Validation!$A:$E,5,0)</f>
        <v>$</v>
      </c>
      <c r="X305" s="153">
        <f>+VLOOKUP($L305,Data_Validation!$A:$F,6,0)</f>
        <v>0</v>
      </c>
    </row>
    <row r="306" spans="1:24" ht="15" customHeight="1">
      <c r="A306" s="1430" t="s">
        <v>2917</v>
      </c>
      <c r="B306" s="1433">
        <v>5715</v>
      </c>
      <c r="C306" s="1432">
        <v>-16</v>
      </c>
      <c r="D306" s="1432">
        <v>0</v>
      </c>
      <c r="E306" s="1432">
        <v>-16</v>
      </c>
      <c r="F306" s="1430" t="s">
        <v>421</v>
      </c>
      <c r="G306" s="1430" t="s">
        <v>3612</v>
      </c>
      <c r="H306" s="1233"/>
      <c r="I306" s="1234"/>
      <c r="J306" s="1234"/>
      <c r="K306" s="1234"/>
      <c r="L306" s="150">
        <f t="shared" si="18"/>
        <v>5715</v>
      </c>
      <c r="M306" s="151" t="str">
        <f t="shared" si="19"/>
        <v>C/V - AUTRE PIECE/ACC/CARR B.R. INTERNE</v>
      </c>
      <c r="N306" s="152">
        <f>+IF(OR($Q306=Parametres!$G$2,$Q306=Parametres!$G$3),I306,C306)</f>
        <v>-16</v>
      </c>
      <c r="O306" s="152">
        <f>+IF(OR($Q306=Parametres!$G$2,$Q306=Parametres!$G$3),J306,D306)</f>
        <v>0</v>
      </c>
      <c r="P306" s="152">
        <f>+IF(OR($Q306=Parametres!$G$2,$Q306=Parametres!$G$3),K306,E306)</f>
        <v>-16</v>
      </c>
      <c r="Q306" s="151" t="str">
        <f t="shared" ref="Q306:S321" si="23">+F306</f>
        <v>6-Coût des ventes</v>
      </c>
      <c r="R306" s="150" t="str">
        <f t="shared" si="23"/>
        <v>4715</v>
      </c>
      <c r="S306" s="151">
        <f t="shared" si="23"/>
        <v>0</v>
      </c>
      <c r="T306" s="153">
        <f>+VLOOKUP($L306,Data_Validation!$A:$D,1,0)</f>
        <v>5715</v>
      </c>
      <c r="U306" s="153" t="str">
        <f>+VLOOKUP($L306,Data_Validation!$A:$D,3,0)</f>
        <v>Pièces</v>
      </c>
      <c r="V306" s="153" t="str">
        <f>+VLOOKUP($L306,Data_Validation!$A:$D,4,0)</f>
        <v>Ventes Internes</v>
      </c>
      <c r="W306" s="153" t="str">
        <f>+VLOOKUP($L306,Data_Validation!$A:$E,5,0)</f>
        <v>$</v>
      </c>
      <c r="X306" s="153">
        <f>+VLOOKUP($L306,Data_Validation!$A:$F,6,0)</f>
        <v>0</v>
      </c>
    </row>
    <row r="307" spans="1:24" ht="15" customHeight="1">
      <c r="A307" s="1430" t="s">
        <v>2745</v>
      </c>
      <c r="B307" s="1433">
        <v>5731</v>
      </c>
      <c r="C307" s="1432">
        <v>42854.12</v>
      </c>
      <c r="D307" s="1432">
        <v>15538.14</v>
      </c>
      <c r="E307" s="1432">
        <v>58392.26</v>
      </c>
      <c r="F307" s="1430" t="s">
        <v>421</v>
      </c>
      <c r="G307" s="1430" t="s">
        <v>2101</v>
      </c>
      <c r="H307" s="1233"/>
      <c r="I307" s="1234"/>
      <c r="J307" s="1234"/>
      <c r="K307" s="1234"/>
      <c r="L307" s="150">
        <f t="shared" si="18"/>
        <v>5731</v>
      </c>
      <c r="M307" s="151" t="str">
        <f t="shared" si="19"/>
        <v>C/V - PIECES-BON REPAR.-PEINT/DEBOS</v>
      </c>
      <c r="N307" s="152">
        <f>+IF(OR($Q307=Parametres!$G$2,$Q307=Parametres!$G$3),I307,C307)</f>
        <v>42854.12</v>
      </c>
      <c r="O307" s="152">
        <f>+IF(OR($Q307=Parametres!$G$2,$Q307=Parametres!$G$3),J307,D307)</f>
        <v>15538.14</v>
      </c>
      <c r="P307" s="152">
        <f>+IF(OR($Q307=Parametres!$G$2,$Q307=Parametres!$G$3),K307,E307)</f>
        <v>58392.26</v>
      </c>
      <c r="Q307" s="151" t="str">
        <f t="shared" si="23"/>
        <v>6-Coût des ventes</v>
      </c>
      <c r="R307" s="150" t="str">
        <f t="shared" si="23"/>
        <v>4731</v>
      </c>
      <c r="S307" s="151">
        <f t="shared" si="23"/>
        <v>0</v>
      </c>
      <c r="T307" s="153">
        <f>+VLOOKUP($L307,Data_Validation!$A:$D,1,0)</f>
        <v>5731</v>
      </c>
      <c r="U307" s="153" t="str">
        <f>+VLOOKUP($L307,Data_Validation!$A:$D,3,0)</f>
        <v>Pièces</v>
      </c>
      <c r="V307" s="153" t="str">
        <f>+VLOOKUP($L307,Data_Validation!$A:$D,4,0)</f>
        <v>Pièces Ro Carrosserie</v>
      </c>
      <c r="W307" s="153" t="str">
        <f>+VLOOKUP($L307,Data_Validation!$A:$E,5,0)</f>
        <v>$</v>
      </c>
      <c r="X307" s="153">
        <f>+VLOOKUP($L307,Data_Validation!$A:$F,6,0)</f>
        <v>0</v>
      </c>
    </row>
    <row r="308" spans="1:24" ht="15" customHeight="1">
      <c r="A308" s="1430" t="s">
        <v>2778</v>
      </c>
      <c r="B308" s="1433">
        <v>5733</v>
      </c>
      <c r="C308" s="1432">
        <v>234795.35</v>
      </c>
      <c r="D308" s="1432">
        <v>34512.839999999997</v>
      </c>
      <c r="E308" s="1432">
        <v>269308.19</v>
      </c>
      <c r="F308" s="1430" t="s">
        <v>421</v>
      </c>
      <c r="G308" s="1430" t="s">
        <v>2084</v>
      </c>
      <c r="H308" s="1233"/>
      <c r="I308" s="1234"/>
      <c r="J308" s="1234"/>
      <c r="K308" s="1234"/>
      <c r="L308" s="150">
        <f t="shared" si="18"/>
        <v>5733</v>
      </c>
      <c r="M308" s="151" t="str">
        <f t="shared" si="19"/>
        <v>C/V - P&amp;A B.T. GAR.CARR.VW</v>
      </c>
      <c r="N308" s="152">
        <f>+IF(OR($Q308=Parametres!$G$2,$Q308=Parametres!$G$3),I308,C308)</f>
        <v>234795.35</v>
      </c>
      <c r="O308" s="152">
        <f>+IF(OR($Q308=Parametres!$G$2,$Q308=Parametres!$G$3),J308,D308)</f>
        <v>34512.839999999997</v>
      </c>
      <c r="P308" s="152">
        <f>+IF(OR($Q308=Parametres!$G$2,$Q308=Parametres!$G$3),K308,E308)</f>
        <v>269308.19</v>
      </c>
      <c r="Q308" s="151" t="str">
        <f t="shared" si="23"/>
        <v>6-Coût des ventes</v>
      </c>
      <c r="R308" s="150" t="str">
        <f t="shared" si="23"/>
        <v>4733</v>
      </c>
      <c r="S308" s="151">
        <f t="shared" si="23"/>
        <v>0</v>
      </c>
      <c r="T308" s="153">
        <f>+VLOOKUP($L308,Data_Validation!$A:$D,1,0)</f>
        <v>5733</v>
      </c>
      <c r="U308" s="153" t="str">
        <f>+VLOOKUP($L308,Data_Validation!$A:$D,3,0)</f>
        <v>Pièces</v>
      </c>
      <c r="V308" s="153" t="str">
        <f>+VLOOKUP($L308,Data_Validation!$A:$D,4,0)</f>
        <v>Pièces Ro Carrosserie</v>
      </c>
      <c r="W308" s="153" t="str">
        <f>+VLOOKUP($L308,Data_Validation!$A:$E,5,0)</f>
        <v>$</v>
      </c>
      <c r="X308" s="153">
        <f>+VLOOKUP($L308,Data_Validation!$A:$F,6,0)</f>
        <v>0</v>
      </c>
    </row>
    <row r="309" spans="1:24" ht="15.75" customHeight="1">
      <c r="A309" s="1430" t="s">
        <v>2659</v>
      </c>
      <c r="B309" s="1433">
        <v>5735</v>
      </c>
      <c r="C309" s="1432">
        <v>7766.1</v>
      </c>
      <c r="D309" s="1432">
        <v>625.17999999999995</v>
      </c>
      <c r="E309" s="1432">
        <v>8391.2800000000007</v>
      </c>
      <c r="F309" s="1430" t="s">
        <v>421</v>
      </c>
      <c r="G309" s="1430" t="s">
        <v>2159</v>
      </c>
      <c r="H309" s="1233"/>
      <c r="I309" s="1234"/>
      <c r="J309" s="1234"/>
      <c r="K309" s="1234"/>
      <c r="L309" s="150">
        <f t="shared" si="18"/>
        <v>5735</v>
      </c>
      <c r="M309" s="151" t="str">
        <f t="shared" si="19"/>
        <v>C/V - P&amp;A B.T.INTERNE CARR.VW</v>
      </c>
      <c r="N309" s="152">
        <f>+IF(OR($Q309=Parametres!$G$2,$Q309=Parametres!$G$3),I309,C309)</f>
        <v>7766.1</v>
      </c>
      <c r="O309" s="152">
        <f>+IF(OR($Q309=Parametres!$G$2,$Q309=Parametres!$G$3),J309,D309)</f>
        <v>625.17999999999995</v>
      </c>
      <c r="P309" s="152">
        <f>+IF(OR($Q309=Parametres!$G$2,$Q309=Parametres!$G$3),K309,E309)</f>
        <v>8391.2800000000007</v>
      </c>
      <c r="Q309" s="151" t="str">
        <f t="shared" si="23"/>
        <v>6-Coût des ventes</v>
      </c>
      <c r="R309" s="150" t="str">
        <f t="shared" si="23"/>
        <v>4735</v>
      </c>
      <c r="S309" s="151">
        <f t="shared" si="23"/>
        <v>0</v>
      </c>
      <c r="T309" s="153">
        <f>+VLOOKUP($L309,Data_Validation!$A:$D,1,0)</f>
        <v>5735</v>
      </c>
      <c r="U309" s="153" t="str">
        <f>+VLOOKUP($L309,Data_Validation!$A:$D,3,0)</f>
        <v>Pièces</v>
      </c>
      <c r="V309" s="153" t="str">
        <f>+VLOOKUP($L309,Data_Validation!$A:$D,4,0)</f>
        <v>Pièces Ro Carrosserie</v>
      </c>
      <c r="W309" s="153" t="str">
        <f>+VLOOKUP($L309,Data_Validation!$A:$E,5,0)</f>
        <v>$</v>
      </c>
      <c r="X309" s="153">
        <f>+VLOOKUP($L309,Data_Validation!$A:$F,6,0)</f>
        <v>0</v>
      </c>
    </row>
    <row r="310" spans="1:24" ht="15" customHeight="1">
      <c r="A310" s="1430" t="s">
        <v>2785</v>
      </c>
      <c r="B310" s="1433">
        <v>5761</v>
      </c>
      <c r="C310" s="1432">
        <v>105692.07</v>
      </c>
      <c r="D310" s="1432">
        <v>14417.84</v>
      </c>
      <c r="E310" s="1432">
        <v>120109.91</v>
      </c>
      <c r="F310" s="1430" t="s">
        <v>421</v>
      </c>
      <c r="G310" s="1430" t="s">
        <v>2076</v>
      </c>
      <c r="H310" s="1233"/>
      <c r="I310" s="1234"/>
      <c r="J310" s="1234"/>
      <c r="K310" s="1234"/>
      <c r="L310" s="150">
        <f t="shared" si="18"/>
        <v>5761</v>
      </c>
      <c r="M310" s="151" t="str">
        <f t="shared" si="19"/>
        <v>C/V - P&amp;A VW COMPTOIR - DETAIL</v>
      </c>
      <c r="N310" s="152">
        <f>+IF(OR($Q310=Parametres!$G$2,$Q310=Parametres!$G$3),I310,C310)</f>
        <v>105692.07</v>
      </c>
      <c r="O310" s="152">
        <f>+IF(OR($Q310=Parametres!$G$2,$Q310=Parametres!$G$3),J310,D310)</f>
        <v>14417.84</v>
      </c>
      <c r="P310" s="152">
        <f>+IF(OR($Q310=Parametres!$G$2,$Q310=Parametres!$G$3),K310,E310)</f>
        <v>120109.91</v>
      </c>
      <c r="Q310" s="151" t="str">
        <f t="shared" si="23"/>
        <v>6-Coût des ventes</v>
      </c>
      <c r="R310" s="150" t="str">
        <f t="shared" si="23"/>
        <v>4761</v>
      </c>
      <c r="S310" s="151">
        <f t="shared" si="23"/>
        <v>0</v>
      </c>
      <c r="T310" s="153">
        <f>+VLOOKUP($L310,Data_Validation!$A:$D,1,0)</f>
        <v>5761</v>
      </c>
      <c r="U310" s="153" t="str">
        <f>+VLOOKUP($L310,Data_Validation!$A:$D,3,0)</f>
        <v>Pièces</v>
      </c>
      <c r="V310" s="153" t="str">
        <f>+VLOOKUP($L310,Data_Validation!$A:$D,4,0)</f>
        <v>Ventes Détails</v>
      </c>
      <c r="W310" s="153" t="str">
        <f>+VLOOKUP($L310,Data_Validation!$A:$E,5,0)</f>
        <v>$</v>
      </c>
      <c r="X310" s="153">
        <f>+VLOOKUP($L310,Data_Validation!$A:$F,6,0)</f>
        <v>0</v>
      </c>
    </row>
    <row r="311" spans="1:24" ht="15" customHeight="1">
      <c r="A311" s="1430" t="s">
        <v>2807</v>
      </c>
      <c r="B311" s="1433">
        <v>5763</v>
      </c>
      <c r="C311" s="1432">
        <v>357418.62</v>
      </c>
      <c r="D311" s="1432">
        <v>46640.91</v>
      </c>
      <c r="E311" s="1432">
        <v>404059.53</v>
      </c>
      <c r="F311" s="1430" t="s">
        <v>421</v>
      </c>
      <c r="G311" s="1430" t="s">
        <v>2039</v>
      </c>
      <c r="H311" s="1233"/>
      <c r="I311" s="1234"/>
      <c r="J311" s="1234"/>
      <c r="K311" s="1234"/>
      <c r="L311" s="150">
        <f t="shared" si="18"/>
        <v>5763</v>
      </c>
      <c r="M311" s="151" t="str">
        <f t="shared" si="19"/>
        <v>C/V - P&amp;A VW COMPTOIR GROS - ECHANGE</v>
      </c>
      <c r="N311" s="152">
        <f>+IF(OR($Q311=Parametres!$G$2,$Q311=Parametres!$G$3),I311,C311)</f>
        <v>357418.62</v>
      </c>
      <c r="O311" s="152">
        <f>+IF(OR($Q311=Parametres!$G$2,$Q311=Parametres!$G$3),J311,D311)</f>
        <v>46640.91</v>
      </c>
      <c r="P311" s="152">
        <f>+IF(OR($Q311=Parametres!$G$2,$Q311=Parametres!$G$3),K311,E311)</f>
        <v>404059.53</v>
      </c>
      <c r="Q311" s="151" t="str">
        <f t="shared" si="23"/>
        <v>6-Coût des ventes</v>
      </c>
      <c r="R311" s="150" t="str">
        <f t="shared" si="23"/>
        <v>4763</v>
      </c>
      <c r="S311" s="151">
        <f t="shared" si="23"/>
        <v>0</v>
      </c>
      <c r="T311" s="153">
        <f>+VLOOKUP($L311,Data_Validation!$A:$D,1,0)</f>
        <v>5763</v>
      </c>
      <c r="U311" s="153" t="str">
        <f>+VLOOKUP($L311,Data_Validation!$A:$D,3,0)</f>
        <v>Pièces</v>
      </c>
      <c r="V311" s="153" t="str">
        <f>+VLOOKUP($L311,Data_Validation!$A:$D,4,0)</f>
        <v>Ventes de Gros</v>
      </c>
      <c r="W311" s="153" t="str">
        <f>+VLOOKUP($L311,Data_Validation!$A:$E,5,0)</f>
        <v>$</v>
      </c>
      <c r="X311" s="153">
        <f>+VLOOKUP($L311,Data_Validation!$A:$F,6,0)</f>
        <v>0</v>
      </c>
    </row>
    <row r="312" spans="1:24" ht="15" customHeight="1">
      <c r="A312" s="1430" t="s">
        <v>2811</v>
      </c>
      <c r="B312" s="1433">
        <v>5781</v>
      </c>
      <c r="C312" s="1432">
        <v>228520.71</v>
      </c>
      <c r="D312" s="1432">
        <v>53652.4</v>
      </c>
      <c r="E312" s="1432">
        <v>282173.11</v>
      </c>
      <c r="F312" s="1430" t="s">
        <v>421</v>
      </c>
      <c r="G312" s="1430" t="s">
        <v>2028</v>
      </c>
      <c r="H312" s="1233"/>
      <c r="I312" s="1234"/>
      <c r="J312" s="1234"/>
      <c r="K312" s="1234"/>
      <c r="L312" s="150">
        <f t="shared" si="18"/>
        <v>5781</v>
      </c>
      <c r="M312" s="151" t="str">
        <f t="shared" si="19"/>
        <v>COUT PNEUS</v>
      </c>
      <c r="N312" s="152">
        <f>+IF(OR($Q312=Parametres!$G$2,$Q312=Parametres!$G$3),I312,C312)</f>
        <v>228520.71</v>
      </c>
      <c r="O312" s="152">
        <f>+IF(OR($Q312=Parametres!$G$2,$Q312=Parametres!$G$3),J312,D312)</f>
        <v>53652.4</v>
      </c>
      <c r="P312" s="152">
        <f>+IF(OR($Q312=Parametres!$G$2,$Q312=Parametres!$G$3),K312,E312)</f>
        <v>282173.11</v>
      </c>
      <c r="Q312" s="151" t="str">
        <f t="shared" si="23"/>
        <v>6-Coût des ventes</v>
      </c>
      <c r="R312" s="150" t="str">
        <f t="shared" si="23"/>
        <v>4781</v>
      </c>
      <c r="S312" s="151">
        <f t="shared" si="23"/>
        <v>0</v>
      </c>
      <c r="T312" s="153">
        <f>+VLOOKUP($L312,Data_Validation!$A:$D,1,0)</f>
        <v>5781</v>
      </c>
      <c r="U312" s="153" t="str">
        <f>+VLOOKUP($L312,Data_Validation!$A:$D,3,0)</f>
        <v>Pièces</v>
      </c>
      <c r="V312" s="153" t="str">
        <f>+VLOOKUP($L312,Data_Validation!$A:$D,4,0)</f>
        <v>Ventes Pneus</v>
      </c>
      <c r="W312" s="153" t="str">
        <f>+VLOOKUP($L312,Data_Validation!$A:$E,5,0)</f>
        <v>$</v>
      </c>
      <c r="X312" s="153">
        <f>+VLOOKUP($L312,Data_Validation!$A:$F,6,0)</f>
        <v>0</v>
      </c>
    </row>
    <row r="313" spans="1:24" ht="15" customHeight="1">
      <c r="A313" s="1430" t="s">
        <v>2720</v>
      </c>
      <c r="B313" s="1433">
        <v>5785</v>
      </c>
      <c r="C313" s="1432">
        <v>3046.78</v>
      </c>
      <c r="D313" s="1432">
        <v>3570.04</v>
      </c>
      <c r="E313" s="1432">
        <v>6616.82</v>
      </c>
      <c r="F313" s="1430" t="s">
        <v>421</v>
      </c>
      <c r="G313" s="1430" t="s">
        <v>2028</v>
      </c>
      <c r="H313" s="1233"/>
      <c r="I313" s="1234"/>
      <c r="J313" s="1234"/>
      <c r="K313" s="1234"/>
      <c r="L313" s="150">
        <f t="shared" si="18"/>
        <v>5785</v>
      </c>
      <c r="M313" s="151" t="str">
        <f t="shared" si="19"/>
        <v>C/V - VW PNEUS</v>
      </c>
      <c r="N313" s="152">
        <f>+IF(OR($Q313=Parametres!$G$2,$Q313=Parametres!$G$3),I313,C313)</f>
        <v>3046.78</v>
      </c>
      <c r="O313" s="152">
        <f>+IF(OR($Q313=Parametres!$G$2,$Q313=Parametres!$G$3),J313,D313)</f>
        <v>3570.04</v>
      </c>
      <c r="P313" s="152">
        <f>+IF(OR($Q313=Parametres!$G$2,$Q313=Parametres!$G$3),K313,E313)</f>
        <v>6616.82</v>
      </c>
      <c r="Q313" s="151" t="str">
        <f t="shared" si="23"/>
        <v>6-Coût des ventes</v>
      </c>
      <c r="R313" s="150" t="str">
        <f t="shared" si="23"/>
        <v>4781</v>
      </c>
      <c r="S313" s="151">
        <f t="shared" si="23"/>
        <v>0</v>
      </c>
      <c r="T313" s="153">
        <f>+VLOOKUP($L313,Data_Validation!$A:$D,1,0)</f>
        <v>5785</v>
      </c>
      <c r="U313" s="153" t="str">
        <f>+VLOOKUP($L313,Data_Validation!$A:$D,3,0)</f>
        <v>Pièces</v>
      </c>
      <c r="V313" s="153" t="str">
        <f>+VLOOKUP($L313,Data_Validation!$A:$D,4,0)</f>
        <v>Ventes Pneus</v>
      </c>
      <c r="W313" s="153" t="str">
        <f>+VLOOKUP($L313,Data_Validation!$A:$E,5,0)</f>
        <v>$</v>
      </c>
      <c r="X313" s="153">
        <f>+VLOOKUP($L313,Data_Validation!$A:$F,6,0)</f>
        <v>0</v>
      </c>
    </row>
    <row r="314" spans="1:24" ht="15" customHeight="1">
      <c r="A314" s="1430" t="s">
        <v>2128</v>
      </c>
      <c r="B314" s="1433">
        <v>5796</v>
      </c>
      <c r="C314" s="1432">
        <v>-1173.03</v>
      </c>
      <c r="D314" s="1432">
        <v>874.09</v>
      </c>
      <c r="E314" s="1432">
        <v>-298.94</v>
      </c>
      <c r="F314" s="1430" t="s">
        <v>421</v>
      </c>
      <c r="G314" s="1430" t="s">
        <v>2130</v>
      </c>
      <c r="H314" s="1233"/>
      <c r="I314" s="1234"/>
      <c r="J314" s="1234"/>
      <c r="K314" s="1234"/>
      <c r="L314" s="150">
        <f t="shared" si="18"/>
        <v>5796</v>
      </c>
      <c r="M314" s="151" t="str">
        <f t="shared" si="19"/>
        <v>C/V - BONI / ESCPTE PI VW</v>
      </c>
      <c r="N314" s="152">
        <f>+IF(OR($Q314=Parametres!$G$2,$Q314=Parametres!$G$3),I314,C314)</f>
        <v>-1173.03</v>
      </c>
      <c r="O314" s="152">
        <f>+IF(OR($Q314=Parametres!$G$2,$Q314=Parametres!$G$3),J314,D314)</f>
        <v>874.09</v>
      </c>
      <c r="P314" s="152">
        <f>+IF(OR($Q314=Parametres!$G$2,$Q314=Parametres!$G$3),K314,E314)</f>
        <v>-298.94</v>
      </c>
      <c r="Q314" s="151" t="str">
        <f t="shared" si="23"/>
        <v>6-Coût des ventes</v>
      </c>
      <c r="R314" s="150" t="str">
        <f t="shared" si="23"/>
        <v>5792</v>
      </c>
      <c r="S314" s="151">
        <f t="shared" si="23"/>
        <v>0</v>
      </c>
      <c r="T314" s="153">
        <f>+VLOOKUP($L314,Data_Validation!$A:$D,1,0)</f>
        <v>5796</v>
      </c>
      <c r="U314" s="153" t="str">
        <f>+VLOOKUP($L314,Data_Validation!$A:$D,3,0)</f>
        <v>Pièces</v>
      </c>
      <c r="V314" s="153" t="str">
        <f>+VLOOKUP($L314,Data_Validation!$A:$D,4,0)</f>
        <v>Escomptes</v>
      </c>
      <c r="W314" s="153" t="str">
        <f>+VLOOKUP($L314,Data_Validation!$A:$E,5,0)</f>
        <v>$</v>
      </c>
      <c r="X314" s="153">
        <f>+VLOOKUP($L314,Data_Validation!$A:$F,6,0)</f>
        <v>0</v>
      </c>
    </row>
    <row r="315" spans="1:24" ht="15" customHeight="1">
      <c r="A315" s="1430" t="s">
        <v>1520</v>
      </c>
      <c r="B315" s="1433">
        <v>6101</v>
      </c>
      <c r="C315" s="1432">
        <v>367417.29</v>
      </c>
      <c r="D315" s="1432">
        <v>47126.76</v>
      </c>
      <c r="E315" s="1432">
        <v>414544.05</v>
      </c>
      <c r="F315" s="1430" t="s">
        <v>398</v>
      </c>
      <c r="G315" s="1430" t="s">
        <v>2772</v>
      </c>
      <c r="H315" s="1233"/>
      <c r="I315" s="1234"/>
      <c r="J315" s="1234"/>
      <c r="K315" s="1234"/>
      <c r="L315" s="150">
        <f t="shared" si="18"/>
        <v>6101</v>
      </c>
      <c r="M315" s="151" t="str">
        <f t="shared" si="19"/>
        <v>COMMISSION VENDEUR NEUFS</v>
      </c>
      <c r="N315" s="152">
        <f>+IF(OR($Q315=Parametres!$G$2,$Q315=Parametres!$G$3),I315,C315)</f>
        <v>367417.29</v>
      </c>
      <c r="O315" s="152">
        <f>+IF(OR($Q315=Parametres!$G$2,$Q315=Parametres!$G$3),J315,D315)</f>
        <v>47126.76</v>
      </c>
      <c r="P315" s="152">
        <f>+IF(OR($Q315=Parametres!$G$2,$Q315=Parametres!$G$3),K315,E315)</f>
        <v>414544.05</v>
      </c>
      <c r="Q315" s="151" t="str">
        <f t="shared" si="23"/>
        <v>7-Dépenses</v>
      </c>
      <c r="R315" s="150" t="str">
        <f t="shared" si="23"/>
        <v>6101</v>
      </c>
      <c r="S315" s="151">
        <f t="shared" si="23"/>
        <v>0</v>
      </c>
      <c r="T315" s="153">
        <f>+VLOOKUP($L315,Data_Validation!$A:$D,1,0)</f>
        <v>6101</v>
      </c>
      <c r="U315" s="153" t="str">
        <f>+VLOOKUP($L315,Data_Validation!$A:$D,3,0)</f>
        <v>Véhicules neufs</v>
      </c>
      <c r="V315" s="153" t="str">
        <f>+VLOOKUP($L315,Data_Validation!$A:$D,4,0)</f>
        <v>Comm. vendeurs</v>
      </c>
      <c r="W315" s="153" t="str">
        <f>+VLOOKUP($L315,Data_Validation!$A:$E,5,0)</f>
        <v>$</v>
      </c>
      <c r="X315" s="153">
        <f>+VLOOKUP($L315,Data_Validation!$A:$F,6,0)</f>
        <v>0</v>
      </c>
    </row>
    <row r="316" spans="1:24" ht="15" customHeight="1">
      <c r="A316" s="1430" t="s">
        <v>1439</v>
      </c>
      <c r="B316" s="1433">
        <v>6102</v>
      </c>
      <c r="C316" s="1432">
        <v>150011.43</v>
      </c>
      <c r="D316" s="1432">
        <v>16365.11</v>
      </c>
      <c r="E316" s="1432">
        <v>166376.54</v>
      </c>
      <c r="F316" s="1430" t="s">
        <v>398</v>
      </c>
      <c r="G316" s="1430" t="s">
        <v>2761</v>
      </c>
      <c r="H316" s="1233"/>
      <c r="I316" s="1234"/>
      <c r="J316" s="1234"/>
      <c r="K316" s="1234"/>
      <c r="L316" s="150">
        <f t="shared" si="18"/>
        <v>6102</v>
      </c>
      <c r="M316" s="151" t="str">
        <f t="shared" si="19"/>
        <v>RENUMERATION F &amp; I</v>
      </c>
      <c r="N316" s="152">
        <f>+IF(OR($Q316=Parametres!$G$2,$Q316=Parametres!$G$3),I316,C316)</f>
        <v>150011.43</v>
      </c>
      <c r="O316" s="152">
        <f>+IF(OR($Q316=Parametres!$G$2,$Q316=Parametres!$G$3),J316,D316)</f>
        <v>16365.11</v>
      </c>
      <c r="P316" s="152">
        <f>+IF(OR($Q316=Parametres!$G$2,$Q316=Parametres!$G$3),K316,E316)</f>
        <v>166376.54</v>
      </c>
      <c r="Q316" s="151" t="str">
        <f t="shared" si="23"/>
        <v>7-Dépenses</v>
      </c>
      <c r="R316" s="150" t="str">
        <f t="shared" si="23"/>
        <v>6102</v>
      </c>
      <c r="S316" s="151">
        <f t="shared" si="23"/>
        <v>0</v>
      </c>
      <c r="T316" s="153">
        <f>+VLOOKUP($L316,Data_Validation!$A:$D,1,0)</f>
        <v>6102</v>
      </c>
      <c r="U316" s="153" t="str">
        <f>+VLOOKUP($L316,Data_Validation!$A:$D,3,0)</f>
        <v>Véhicules neufs</v>
      </c>
      <c r="V316" s="153" t="str">
        <f>+VLOOKUP($L316,Data_Validation!$A:$D,4,0)</f>
        <v>Comm. F&amp;I</v>
      </c>
      <c r="W316" s="153" t="str">
        <f>+VLOOKUP($L316,Data_Validation!$A:$E,5,0)</f>
        <v>$</v>
      </c>
      <c r="X316" s="153">
        <f>+VLOOKUP($L316,Data_Validation!$A:$F,6,0)</f>
        <v>0</v>
      </c>
    </row>
    <row r="317" spans="1:24" ht="15" customHeight="1">
      <c r="A317" s="1430" t="s">
        <v>396</v>
      </c>
      <c r="B317" s="1433">
        <v>6103</v>
      </c>
      <c r="C317" s="1432">
        <v>5550.13</v>
      </c>
      <c r="D317" s="1432">
        <v>774.55</v>
      </c>
      <c r="E317" s="1432">
        <v>6324.68</v>
      </c>
      <c r="F317" s="1430" t="s">
        <v>398</v>
      </c>
      <c r="G317" s="1430" t="s">
        <v>2697</v>
      </c>
      <c r="H317" s="1233"/>
      <c r="I317" s="1234"/>
      <c r="J317" s="1234"/>
      <c r="K317" s="1234"/>
      <c r="L317" s="150">
        <f t="shared" si="18"/>
        <v>6103</v>
      </c>
      <c r="M317" s="151" t="str">
        <f t="shared" si="19"/>
        <v>RELAT. A LA CLIENTELE &amp; AJUST.</v>
      </c>
      <c r="N317" s="152">
        <f>+IF(OR($Q317=Parametres!$G$2,$Q317=Parametres!$G$3),I317,C317)</f>
        <v>5550.13</v>
      </c>
      <c r="O317" s="152">
        <f>+IF(OR($Q317=Parametres!$G$2,$Q317=Parametres!$G$3),J317,D317)</f>
        <v>774.55</v>
      </c>
      <c r="P317" s="152">
        <f>+IF(OR($Q317=Parametres!$G$2,$Q317=Parametres!$G$3),K317,E317)</f>
        <v>6324.68</v>
      </c>
      <c r="Q317" s="151" t="str">
        <f t="shared" si="23"/>
        <v>7-Dépenses</v>
      </c>
      <c r="R317" s="150" t="str">
        <f t="shared" si="23"/>
        <v>6103</v>
      </c>
      <c r="S317" s="151">
        <f t="shared" si="23"/>
        <v>0</v>
      </c>
      <c r="T317" s="153">
        <f>+VLOOKUP($L317,Data_Validation!$A:$D,1,0)</f>
        <v>6103</v>
      </c>
      <c r="U317" s="153" t="str">
        <f>+VLOOKUP($L317,Data_Validation!$A:$D,3,0)</f>
        <v>Véhicules neufs</v>
      </c>
      <c r="V317" s="153" t="str">
        <f>+VLOOKUP($L317,Data_Validation!$A:$D,4,0)</f>
        <v>Service gratuit 1</v>
      </c>
      <c r="W317" s="153" t="str">
        <f>+VLOOKUP($L317,Data_Validation!$A:$E,5,0)</f>
        <v>$</v>
      </c>
      <c r="X317" s="153">
        <f>+VLOOKUP($L317,Data_Validation!$A:$F,6,0)</f>
        <v>0</v>
      </c>
    </row>
    <row r="318" spans="1:24" ht="15.75" customHeight="1">
      <c r="A318" s="1430" t="s">
        <v>2748</v>
      </c>
      <c r="B318" s="1433">
        <v>6106</v>
      </c>
      <c r="C318" s="1432">
        <v>7731.82</v>
      </c>
      <c r="D318" s="1432">
        <v>2415.14</v>
      </c>
      <c r="E318" s="1432">
        <v>10146.959999999999</v>
      </c>
      <c r="F318" s="1430" t="s">
        <v>398</v>
      </c>
      <c r="G318" s="1430" t="s">
        <v>2750</v>
      </c>
      <c r="H318" s="1233"/>
      <c r="I318" s="1234"/>
      <c r="J318" s="1234"/>
      <c r="K318" s="1234"/>
      <c r="L318" s="150">
        <f t="shared" si="18"/>
        <v>6106</v>
      </c>
      <c r="M318" s="151" t="str">
        <f t="shared" si="19"/>
        <v>ENTRETIEN DES STOCKS</v>
      </c>
      <c r="N318" s="152">
        <f>+IF(OR($Q318=Parametres!$G$2,$Q318=Parametres!$G$3),I318,C318)</f>
        <v>7731.82</v>
      </c>
      <c r="O318" s="152">
        <f>+IF(OR($Q318=Parametres!$G$2,$Q318=Parametres!$G$3),J318,D318)</f>
        <v>2415.14</v>
      </c>
      <c r="P318" s="152">
        <f>+IF(OR($Q318=Parametres!$G$2,$Q318=Parametres!$G$3),K318,E318)</f>
        <v>10146.959999999999</v>
      </c>
      <c r="Q318" s="151" t="str">
        <f t="shared" si="23"/>
        <v>7-Dépenses</v>
      </c>
      <c r="R318" s="150" t="str">
        <f t="shared" si="23"/>
        <v>6106</v>
      </c>
      <c r="S318" s="151">
        <f t="shared" si="23"/>
        <v>0</v>
      </c>
      <c r="T318" s="153">
        <f>+VLOOKUP($L318,Data_Validation!$A:$D,1,0)</f>
        <v>6106</v>
      </c>
      <c r="U318" s="153" t="str">
        <f>+VLOOKUP($L318,Data_Validation!$A:$D,3,0)</f>
        <v>Véhicules neufs</v>
      </c>
      <c r="V318" s="153" t="str">
        <f>+VLOOKUP($L318,Data_Validation!$A:$D,4,0)</f>
        <v>Entretien stock</v>
      </c>
      <c r="W318" s="153" t="str">
        <f>+VLOOKUP($L318,Data_Validation!$A:$E,5,0)</f>
        <v>$</v>
      </c>
      <c r="X318" s="153">
        <f>+VLOOKUP($L318,Data_Validation!$A:$F,6,0)</f>
        <v>0</v>
      </c>
    </row>
    <row r="319" spans="1:24" ht="15" customHeight="1">
      <c r="A319" s="1430" t="s">
        <v>935</v>
      </c>
      <c r="B319" s="1433">
        <v>6107</v>
      </c>
      <c r="C319" s="1432">
        <v>116679.5</v>
      </c>
      <c r="D319" s="1432">
        <v>14211.59</v>
      </c>
      <c r="E319" s="1432">
        <v>130891.09</v>
      </c>
      <c r="F319" s="1430" t="s">
        <v>398</v>
      </c>
      <c r="G319" s="1430" t="s">
        <v>2603</v>
      </c>
      <c r="H319" s="1233"/>
      <c r="I319" s="1234"/>
      <c r="J319" s="1234"/>
      <c r="K319" s="1234"/>
      <c r="L319" s="150">
        <f t="shared" si="18"/>
        <v>6107</v>
      </c>
      <c r="M319" s="151" t="str">
        <f t="shared" si="19"/>
        <v>INTERET-PLAN DE FINANCEMENT</v>
      </c>
      <c r="N319" s="152">
        <f>+IF(OR($Q319=Parametres!$G$2,$Q319=Parametres!$G$3),I319,C319)</f>
        <v>116679.5</v>
      </c>
      <c r="O319" s="152">
        <f>+IF(OR($Q319=Parametres!$G$2,$Q319=Parametres!$G$3),J319,D319)</f>
        <v>14211.59</v>
      </c>
      <c r="P319" s="152">
        <f>+IF(OR($Q319=Parametres!$G$2,$Q319=Parametres!$G$3),K319,E319)</f>
        <v>130891.09</v>
      </c>
      <c r="Q319" s="151" t="str">
        <f t="shared" si="23"/>
        <v>7-Dépenses</v>
      </c>
      <c r="R319" s="150" t="str">
        <f t="shared" si="23"/>
        <v>6107</v>
      </c>
      <c r="S319" s="151">
        <f t="shared" si="23"/>
        <v>0</v>
      </c>
      <c r="T319" s="153">
        <f>+VLOOKUP($L319,Data_Validation!$A:$D,1,0)</f>
        <v>6107</v>
      </c>
      <c r="U319" s="153" t="str">
        <f>+VLOOKUP($L319,Data_Validation!$A:$D,3,0)</f>
        <v>Véhicules neufs</v>
      </c>
      <c r="V319" s="153" t="str">
        <f>+VLOOKUP($L319,Data_Validation!$A:$D,4,0)</f>
        <v>Intérêt de gros</v>
      </c>
      <c r="W319" s="153" t="str">
        <f>+VLOOKUP($L319,Data_Validation!$A:$E,5,0)</f>
        <v>$</v>
      </c>
      <c r="X319" s="153">
        <f>+VLOOKUP($L319,Data_Validation!$A:$F,6,0)</f>
        <v>0</v>
      </c>
    </row>
    <row r="320" spans="1:24" ht="15" customHeight="1">
      <c r="A320" s="1430" t="s">
        <v>1404</v>
      </c>
      <c r="B320" s="1433">
        <v>6108</v>
      </c>
      <c r="C320" s="1432">
        <v>89563.95</v>
      </c>
      <c r="D320" s="1432">
        <v>14272.8</v>
      </c>
      <c r="E320" s="1432">
        <v>103836.75</v>
      </c>
      <c r="F320" s="1430" t="s">
        <v>398</v>
      </c>
      <c r="G320" s="1430" t="s">
        <v>2687</v>
      </c>
      <c r="H320" s="1233"/>
      <c r="I320" s="1234"/>
      <c r="J320" s="1234"/>
      <c r="K320" s="1234"/>
      <c r="L320" s="150">
        <f t="shared" si="18"/>
        <v>6108</v>
      </c>
      <c r="M320" s="151" t="str">
        <f t="shared" si="19"/>
        <v>FRAIS DE LIVRAISON</v>
      </c>
      <c r="N320" s="152">
        <f>+IF(OR($Q320=Parametres!$G$2,$Q320=Parametres!$G$3),I320,C320)</f>
        <v>89563.95</v>
      </c>
      <c r="O320" s="152">
        <f>+IF(OR($Q320=Parametres!$G$2,$Q320=Parametres!$G$3),J320,D320)</f>
        <v>14272.8</v>
      </c>
      <c r="P320" s="152">
        <f>+IF(OR($Q320=Parametres!$G$2,$Q320=Parametres!$G$3),K320,E320)</f>
        <v>103836.75</v>
      </c>
      <c r="Q320" s="151" t="str">
        <f t="shared" si="23"/>
        <v>7-Dépenses</v>
      </c>
      <c r="R320" s="150" t="str">
        <f t="shared" si="23"/>
        <v>6108</v>
      </c>
      <c r="S320" s="151">
        <f t="shared" si="23"/>
        <v>0</v>
      </c>
      <c r="T320" s="153">
        <f>+VLOOKUP($L320,Data_Validation!$A:$D,1,0)</f>
        <v>6108</v>
      </c>
      <c r="U320" s="153" t="str">
        <f>+VLOOKUP($L320,Data_Validation!$A:$D,3,0)</f>
        <v>Véhicules neufs</v>
      </c>
      <c r="V320" s="153" t="str">
        <f>+VLOOKUP($L320,Data_Validation!$A:$D,4,0)</f>
        <v>Frais de livraison</v>
      </c>
      <c r="W320" s="153" t="str">
        <f>+VLOOKUP($L320,Data_Validation!$A:$E,5,0)</f>
        <v>$</v>
      </c>
      <c r="X320" s="153">
        <f>+VLOOKUP($L320,Data_Validation!$A:$F,6,0)</f>
        <v>0</v>
      </c>
    </row>
    <row r="321" spans="1:24" ht="15" customHeight="1">
      <c r="A321" s="1430" t="s">
        <v>1371</v>
      </c>
      <c r="B321" s="1433">
        <v>6114</v>
      </c>
      <c r="C321" s="1432">
        <v>147570.01999999999</v>
      </c>
      <c r="D321" s="1432">
        <v>22533.119999999999</v>
      </c>
      <c r="E321" s="1432">
        <v>170103.14</v>
      </c>
      <c r="F321" s="1430" t="s">
        <v>398</v>
      </c>
      <c r="G321" s="1430" t="s">
        <v>2106</v>
      </c>
      <c r="H321" s="1233"/>
      <c r="I321" s="1234"/>
      <c r="J321" s="1234"/>
      <c r="K321" s="1234"/>
      <c r="L321" s="150">
        <f t="shared" si="18"/>
        <v>6114</v>
      </c>
      <c r="M321" s="151" t="str">
        <f t="shared" si="19"/>
        <v>PUBLICITE</v>
      </c>
      <c r="N321" s="152">
        <f>+IF(OR($Q321=Parametres!$G$2,$Q321=Parametres!$G$3),I321,C321)</f>
        <v>147570.01999999999</v>
      </c>
      <c r="O321" s="152">
        <f>+IF(OR($Q321=Parametres!$G$2,$Q321=Parametres!$G$3),J321,D321)</f>
        <v>22533.119999999999</v>
      </c>
      <c r="P321" s="152">
        <f>+IF(OR($Q321=Parametres!$G$2,$Q321=Parametres!$G$3),K321,E321)</f>
        <v>170103.14</v>
      </c>
      <c r="Q321" s="151" t="str">
        <f t="shared" si="23"/>
        <v>7-Dépenses</v>
      </c>
      <c r="R321" s="150" t="str">
        <f t="shared" si="23"/>
        <v>6114</v>
      </c>
      <c r="S321" s="151">
        <f t="shared" si="23"/>
        <v>0</v>
      </c>
      <c r="T321" s="153">
        <f>+VLOOKUP($L321,Data_Validation!$A:$D,1,0)</f>
        <v>6114</v>
      </c>
      <c r="U321" s="153" t="str">
        <f>+VLOOKUP($L321,Data_Validation!$A:$D,3,0)</f>
        <v>Véhicules neufs</v>
      </c>
      <c r="V321" s="153" t="str">
        <f>+VLOOKUP($L321,Data_Validation!$A:$D,4,0)</f>
        <v>Publicité 1</v>
      </c>
      <c r="W321" s="153" t="str">
        <f>+VLOOKUP($L321,Data_Validation!$A:$E,5,0)</f>
        <v>$</v>
      </c>
      <c r="X321" s="153">
        <f>+VLOOKUP($L321,Data_Validation!$A:$F,6,0)</f>
        <v>0</v>
      </c>
    </row>
    <row r="322" spans="1:24" ht="15.75" customHeight="1">
      <c r="A322" s="1430" t="s">
        <v>2104</v>
      </c>
      <c r="B322" s="1433">
        <v>6115</v>
      </c>
      <c r="C322" s="1432">
        <v>-60300</v>
      </c>
      <c r="D322" s="1432">
        <v>-7650</v>
      </c>
      <c r="E322" s="1432">
        <v>-67950</v>
      </c>
      <c r="F322" s="1430" t="s">
        <v>398</v>
      </c>
      <c r="G322" s="1430" t="s">
        <v>2106</v>
      </c>
      <c r="H322" s="1233"/>
      <c r="I322" s="1234"/>
      <c r="J322" s="1234"/>
      <c r="K322" s="1234"/>
      <c r="L322" s="150">
        <f t="shared" si="18"/>
        <v>6115</v>
      </c>
      <c r="M322" s="151" t="str">
        <f t="shared" si="19"/>
        <v>CREDIT PUBLICITE NEUF</v>
      </c>
      <c r="N322" s="152">
        <f>+IF(OR($Q322=Parametres!$G$2,$Q322=Parametres!$G$3),I322,C322)</f>
        <v>-60300</v>
      </c>
      <c r="O322" s="152">
        <f>+IF(OR($Q322=Parametres!$G$2,$Q322=Parametres!$G$3),J322,D322)</f>
        <v>-7650</v>
      </c>
      <c r="P322" s="152">
        <f>+IF(OR($Q322=Parametres!$G$2,$Q322=Parametres!$G$3),K322,E322)</f>
        <v>-67950</v>
      </c>
      <c r="Q322" s="151" t="str">
        <f t="shared" ref="Q322:S337" si="24">+F322</f>
        <v>7-Dépenses</v>
      </c>
      <c r="R322" s="150" t="str">
        <f t="shared" si="24"/>
        <v>6114</v>
      </c>
      <c r="S322" s="151">
        <f t="shared" si="24"/>
        <v>0</v>
      </c>
      <c r="T322" s="153">
        <f>+VLOOKUP($L322,Data_Validation!$A:$D,1,0)</f>
        <v>6115</v>
      </c>
      <c r="U322" s="153" t="str">
        <f>+VLOOKUP($L322,Data_Validation!$A:$D,3,0)</f>
        <v>Véhicules neufs</v>
      </c>
      <c r="V322" s="153" t="str">
        <f>+VLOOKUP($L322,Data_Validation!$A:$D,4,0)</f>
        <v>Publicité 1</v>
      </c>
      <c r="W322" s="153" t="str">
        <f>+VLOOKUP($L322,Data_Validation!$A:$E,5,0)</f>
        <v>$</v>
      </c>
      <c r="X322" s="153">
        <f>+VLOOKUP($L322,Data_Validation!$A:$F,6,0)</f>
        <v>0</v>
      </c>
    </row>
    <row r="323" spans="1:24" ht="15" customHeight="1">
      <c r="A323" s="1430" t="s">
        <v>1256</v>
      </c>
      <c r="B323" s="1433">
        <v>6121</v>
      </c>
      <c r="C323" s="1432">
        <v>10302.08</v>
      </c>
      <c r="D323" s="1432">
        <v>4286.05</v>
      </c>
      <c r="E323" s="1432">
        <v>14588.13</v>
      </c>
      <c r="F323" s="1430" t="s">
        <v>398</v>
      </c>
      <c r="G323" s="1430" t="s">
        <v>2639</v>
      </c>
      <c r="H323" s="1233"/>
      <c r="I323" s="1234"/>
      <c r="J323" s="1234"/>
      <c r="K323" s="1234"/>
      <c r="L323" s="150">
        <f t="shared" si="18"/>
        <v>6121</v>
      </c>
      <c r="M323" s="151" t="str">
        <f t="shared" si="19"/>
        <v>SALAIRES - PROPRIETAIRES</v>
      </c>
      <c r="N323" s="152">
        <f>+IF(OR($Q323=Parametres!$G$2,$Q323=Parametres!$G$3),I323,C323)</f>
        <v>10302.08</v>
      </c>
      <c r="O323" s="152">
        <f>+IF(OR($Q323=Parametres!$G$2,$Q323=Parametres!$G$3),J323,D323)</f>
        <v>4286.05</v>
      </c>
      <c r="P323" s="152">
        <f>+IF(OR($Q323=Parametres!$G$2,$Q323=Parametres!$G$3),K323,E323)</f>
        <v>14588.13</v>
      </c>
      <c r="Q323" s="151" t="str">
        <f t="shared" si="24"/>
        <v>7-Dépenses</v>
      </c>
      <c r="R323" s="150" t="str">
        <f t="shared" si="24"/>
        <v>6121</v>
      </c>
      <c r="S323" s="151">
        <f t="shared" si="24"/>
        <v>0</v>
      </c>
      <c r="T323" s="153">
        <f>+VLOOKUP($L323,Data_Validation!$A:$D,1,0)</f>
        <v>6121</v>
      </c>
      <c r="U323" s="153" t="str">
        <f>+VLOOKUP($L323,Data_Validation!$A:$D,3,0)</f>
        <v>Véhicules neufs</v>
      </c>
      <c r="V323" s="153" t="str">
        <f>+VLOOKUP($L323,Data_Validation!$A:$D,4,0)</f>
        <v>Salaires propriétaire</v>
      </c>
      <c r="W323" s="153" t="str">
        <f>+VLOOKUP($L323,Data_Validation!$A:$E,5,0)</f>
        <v>$</v>
      </c>
      <c r="X323" s="153">
        <f>+VLOOKUP($L323,Data_Validation!$A:$F,6,0)</f>
        <v>0</v>
      </c>
    </row>
    <row r="324" spans="1:24" ht="15" customHeight="1">
      <c r="A324" s="1430" t="s">
        <v>2615</v>
      </c>
      <c r="B324" s="1433">
        <v>6122</v>
      </c>
      <c r="C324" s="1432">
        <v>172450.29</v>
      </c>
      <c r="D324" s="1432">
        <v>13316.28</v>
      </c>
      <c r="E324" s="1432">
        <v>185766.57</v>
      </c>
      <c r="F324" s="1430" t="s">
        <v>398</v>
      </c>
      <c r="G324" s="1430" t="s">
        <v>2617</v>
      </c>
      <c r="H324" s="1233"/>
      <c r="I324" s="1234"/>
      <c r="J324" s="1234"/>
      <c r="K324" s="1234"/>
      <c r="L324" s="150">
        <f t="shared" si="18"/>
        <v>6122</v>
      </c>
      <c r="M324" s="151" t="str">
        <f t="shared" si="19"/>
        <v>SAL SUPERVISION / GERANT</v>
      </c>
      <c r="N324" s="152">
        <f>+IF(OR($Q324=Parametres!$G$2,$Q324=Parametres!$G$3),I324,C324)</f>
        <v>172450.29</v>
      </c>
      <c r="O324" s="152">
        <f>+IF(OR($Q324=Parametres!$G$2,$Q324=Parametres!$G$3),J324,D324)</f>
        <v>13316.28</v>
      </c>
      <c r="P324" s="152">
        <f>+IF(OR($Q324=Parametres!$G$2,$Q324=Parametres!$G$3),K324,E324)</f>
        <v>185766.57</v>
      </c>
      <c r="Q324" s="151" t="str">
        <f t="shared" si="24"/>
        <v>7-Dépenses</v>
      </c>
      <c r="R324" s="150" t="str">
        <f t="shared" si="24"/>
        <v>6122</v>
      </c>
      <c r="S324" s="151">
        <f t="shared" si="24"/>
        <v>0</v>
      </c>
      <c r="T324" s="153">
        <f>+VLOOKUP($L324,Data_Validation!$A:$D,1,0)</f>
        <v>6122</v>
      </c>
      <c r="U324" s="153" t="str">
        <f>+VLOOKUP($L324,Data_Validation!$A:$D,3,0)</f>
        <v>Véhicules neufs</v>
      </c>
      <c r="V324" s="153" t="str">
        <f>+VLOOKUP($L324,Data_Validation!$A:$D,4,0)</f>
        <v>Salaires cadres</v>
      </c>
      <c r="W324" s="153" t="str">
        <f>+VLOOKUP($L324,Data_Validation!$A:$E,5,0)</f>
        <v>$</v>
      </c>
      <c r="X324" s="153">
        <f>+VLOOKUP($L324,Data_Validation!$A:$F,6,0)</f>
        <v>0</v>
      </c>
    </row>
    <row r="325" spans="1:24" ht="15" customHeight="1">
      <c r="A325" s="1430" t="s">
        <v>1339</v>
      </c>
      <c r="B325" s="1433">
        <v>6123</v>
      </c>
      <c r="C325" s="1432">
        <v>77950.84</v>
      </c>
      <c r="D325" s="1432">
        <v>9189.31</v>
      </c>
      <c r="E325" s="1432">
        <v>87140.15</v>
      </c>
      <c r="F325" s="1430" t="s">
        <v>398</v>
      </c>
      <c r="G325" s="1430" t="s">
        <v>2670</v>
      </c>
      <c r="H325" s="1233"/>
      <c r="I325" s="1234"/>
      <c r="J325" s="1234"/>
      <c r="K325" s="1234"/>
      <c r="L325" s="150">
        <f t="shared" si="18"/>
        <v>6123</v>
      </c>
      <c r="M325" s="151" t="str">
        <f t="shared" si="19"/>
        <v>SAL. &amp; RENUM. - CLERICAL</v>
      </c>
      <c r="N325" s="152">
        <f>+IF(OR($Q325=Parametres!$G$2,$Q325=Parametres!$G$3),I325,C325)</f>
        <v>77950.84</v>
      </c>
      <c r="O325" s="152">
        <f>+IF(OR($Q325=Parametres!$G$2,$Q325=Parametres!$G$3),J325,D325)</f>
        <v>9189.31</v>
      </c>
      <c r="P325" s="152">
        <f>+IF(OR($Q325=Parametres!$G$2,$Q325=Parametres!$G$3),K325,E325)</f>
        <v>87140.15</v>
      </c>
      <c r="Q325" s="151" t="str">
        <f t="shared" si="24"/>
        <v>7-Dépenses</v>
      </c>
      <c r="R325" s="150" t="str">
        <f t="shared" si="24"/>
        <v>6123</v>
      </c>
      <c r="S325" s="151">
        <f t="shared" si="24"/>
        <v>0</v>
      </c>
      <c r="T325" s="153">
        <f>+VLOOKUP($L325,Data_Validation!$A:$D,1,0)</f>
        <v>6123</v>
      </c>
      <c r="U325" s="153" t="str">
        <f>+VLOOKUP($L325,Data_Validation!$A:$D,3,0)</f>
        <v>Véhicules neufs</v>
      </c>
      <c r="V325" s="153" t="str">
        <f>+VLOOKUP($L325,Data_Validation!$A:$D,4,0)</f>
        <v>Salaires commis</v>
      </c>
      <c r="W325" s="153" t="str">
        <f>+VLOOKUP($L325,Data_Validation!$A:$E,5,0)</f>
        <v>$</v>
      </c>
      <c r="X325" s="153">
        <f>+VLOOKUP($L325,Data_Validation!$A:$F,6,0)</f>
        <v>0</v>
      </c>
    </row>
    <row r="326" spans="1:24" ht="15" customHeight="1">
      <c r="A326" s="1430" t="s">
        <v>1246</v>
      </c>
      <c r="B326" s="1433">
        <v>6124</v>
      </c>
      <c r="C326" s="1432">
        <v>75986.929999999993</v>
      </c>
      <c r="D326" s="1432">
        <v>8825.94</v>
      </c>
      <c r="E326" s="1432">
        <v>84812.87</v>
      </c>
      <c r="F326" s="1430" t="s">
        <v>398</v>
      </c>
      <c r="G326" s="1430" t="s">
        <v>2726</v>
      </c>
      <c r="H326" s="1233"/>
      <c r="I326" s="1234"/>
      <c r="J326" s="1234"/>
      <c r="K326" s="1234"/>
      <c r="L326" s="150">
        <f t="shared" si="18"/>
        <v>6124</v>
      </c>
      <c r="M326" s="151" t="str">
        <f t="shared" si="19"/>
        <v>SALAIRES &amp; RENUM. - AUTRES</v>
      </c>
      <c r="N326" s="152">
        <f>+IF(OR($Q326=Parametres!$G$2,$Q326=Parametres!$G$3),I326,C326)</f>
        <v>75986.929999999993</v>
      </c>
      <c r="O326" s="152">
        <f>+IF(OR($Q326=Parametres!$G$2,$Q326=Parametres!$G$3),J326,D326)</f>
        <v>8825.94</v>
      </c>
      <c r="P326" s="152">
        <f>+IF(OR($Q326=Parametres!$G$2,$Q326=Parametres!$G$3),K326,E326)</f>
        <v>84812.87</v>
      </c>
      <c r="Q326" s="151" t="str">
        <f t="shared" si="24"/>
        <v>7-Dépenses</v>
      </c>
      <c r="R326" s="150" t="str">
        <f t="shared" si="24"/>
        <v>6124</v>
      </c>
      <c r="S326" s="151">
        <f t="shared" si="24"/>
        <v>0</v>
      </c>
      <c r="T326" s="153">
        <f>+VLOOKUP($L326,Data_Validation!$A:$D,1,0)</f>
        <v>6124</v>
      </c>
      <c r="U326" s="153" t="str">
        <f>+VLOOKUP($L326,Data_Validation!$A:$D,3,0)</f>
        <v>Véhicules neufs</v>
      </c>
      <c r="V326" s="153" t="str">
        <f>+VLOOKUP($L326,Data_Validation!$A:$D,4,0)</f>
        <v>Salaires autres</v>
      </c>
      <c r="W326" s="153" t="str">
        <f>+VLOOKUP($L326,Data_Validation!$A:$E,5,0)</f>
        <v>$</v>
      </c>
      <c r="X326" s="153">
        <f>+VLOOKUP($L326,Data_Validation!$A:$F,6,0)</f>
        <v>0</v>
      </c>
    </row>
    <row r="327" spans="1:24" ht="15.75" customHeight="1">
      <c r="A327" s="1430" t="s">
        <v>1442</v>
      </c>
      <c r="B327" s="1433">
        <v>6129</v>
      </c>
      <c r="C327" s="1432">
        <v>121533.91</v>
      </c>
      <c r="D327" s="1432">
        <v>13910.09</v>
      </c>
      <c r="E327" s="1432">
        <v>135444</v>
      </c>
      <c r="F327" s="1430" t="s">
        <v>398</v>
      </c>
      <c r="G327" s="1430" t="s">
        <v>2632</v>
      </c>
      <c r="H327" s="1233"/>
      <c r="I327" s="1234"/>
      <c r="J327" s="1234"/>
      <c r="K327" s="1234"/>
      <c r="L327" s="150">
        <f t="shared" si="18"/>
        <v>6129</v>
      </c>
      <c r="M327" s="151" t="str">
        <f t="shared" si="19"/>
        <v>ABS., VACANCE &amp; SAL. JOURS FER</v>
      </c>
      <c r="N327" s="152">
        <f>+IF(OR($Q327=Parametres!$G$2,$Q327=Parametres!$G$3),I327,C327)</f>
        <v>121533.91</v>
      </c>
      <c r="O327" s="152">
        <f>+IF(OR($Q327=Parametres!$G$2,$Q327=Parametres!$G$3),J327,D327)</f>
        <v>13910.09</v>
      </c>
      <c r="P327" s="152">
        <f>+IF(OR($Q327=Parametres!$G$2,$Q327=Parametres!$G$3),K327,E327)</f>
        <v>135444</v>
      </c>
      <c r="Q327" s="151" t="str">
        <f t="shared" si="24"/>
        <v>7-Dépenses</v>
      </c>
      <c r="R327" s="150" t="str">
        <f t="shared" si="24"/>
        <v>6129</v>
      </c>
      <c r="S327" s="151">
        <f t="shared" si="24"/>
        <v>0</v>
      </c>
      <c r="T327" s="153">
        <f>+VLOOKUP($L327,Data_Validation!$A:$D,1,0)</f>
        <v>6129</v>
      </c>
      <c r="U327" s="153" t="str">
        <f>+VLOOKUP($L327,Data_Validation!$A:$D,3,0)</f>
        <v>Véhicules neufs</v>
      </c>
      <c r="V327" s="153" t="str">
        <f>+VLOOKUP($L327,Data_Validation!$A:$D,4,0)</f>
        <v>Salaires en absences</v>
      </c>
      <c r="W327" s="153" t="str">
        <f>+VLOOKUP($L327,Data_Validation!$A:$E,5,0)</f>
        <v>$</v>
      </c>
      <c r="X327" s="153">
        <f>+VLOOKUP($L327,Data_Validation!$A:$F,6,0)</f>
        <v>0</v>
      </c>
    </row>
    <row r="328" spans="1:24" ht="15" customHeight="1">
      <c r="A328" s="1430" t="s">
        <v>1249</v>
      </c>
      <c r="B328" s="1433">
        <v>6131</v>
      </c>
      <c r="C328" s="1432">
        <v>25131.599999999999</v>
      </c>
      <c r="D328" s="1432">
        <v>1570.38</v>
      </c>
      <c r="E328" s="1432">
        <v>26701.98</v>
      </c>
      <c r="F328" s="1430" t="s">
        <v>398</v>
      </c>
      <c r="G328" s="1430" t="s">
        <v>2577</v>
      </c>
      <c r="H328" s="1233"/>
      <c r="I328" s="1234"/>
      <c r="J328" s="1234"/>
      <c r="K328" s="1234"/>
      <c r="L328" s="150">
        <f t="shared" si="18"/>
        <v>6131</v>
      </c>
      <c r="M328" s="151" t="str">
        <f t="shared" si="19"/>
        <v>CSST</v>
      </c>
      <c r="N328" s="152">
        <f>+IF(OR($Q328=Parametres!$G$2,$Q328=Parametres!$G$3),I328,C328)</f>
        <v>25131.599999999999</v>
      </c>
      <c r="O328" s="152">
        <f>+IF(OR($Q328=Parametres!$G$2,$Q328=Parametres!$G$3),J328,D328)</f>
        <v>1570.38</v>
      </c>
      <c r="P328" s="152">
        <f>+IF(OR($Q328=Parametres!$G$2,$Q328=Parametres!$G$3),K328,E328)</f>
        <v>26701.98</v>
      </c>
      <c r="Q328" s="151" t="str">
        <f t="shared" si="24"/>
        <v>7-Dépenses</v>
      </c>
      <c r="R328" s="150" t="str">
        <f t="shared" si="24"/>
        <v>6131</v>
      </c>
      <c r="S328" s="151">
        <f t="shared" si="24"/>
        <v>0</v>
      </c>
      <c r="T328" s="153">
        <f>+VLOOKUP($L328,Data_Validation!$A:$D,1,0)</f>
        <v>6131</v>
      </c>
      <c r="U328" s="153" t="str">
        <f>+VLOOKUP($L328,Data_Validation!$A:$D,3,0)</f>
        <v>Véhicules neufs</v>
      </c>
      <c r="V328" s="153" t="str">
        <f>+VLOOKUP($L328,Data_Validation!$A:$D,4,0)</f>
        <v>Csst</v>
      </c>
      <c r="W328" s="153" t="str">
        <f>+VLOOKUP($L328,Data_Validation!$A:$E,5,0)</f>
        <v>$</v>
      </c>
      <c r="X328" s="153">
        <f>+VLOOKUP($L328,Data_Validation!$A:$F,6,0)</f>
        <v>0</v>
      </c>
    </row>
    <row r="329" spans="1:24" ht="15" customHeight="1">
      <c r="A329" s="1430" t="s">
        <v>1280</v>
      </c>
      <c r="B329" s="1433">
        <v>6132</v>
      </c>
      <c r="C329" s="1432">
        <v>96789.55</v>
      </c>
      <c r="D329" s="1432">
        <v>9422.26</v>
      </c>
      <c r="E329" s="1432">
        <v>106211.81</v>
      </c>
      <c r="F329" s="1430" t="s">
        <v>398</v>
      </c>
      <c r="G329" s="1430" t="s">
        <v>2676</v>
      </c>
      <c r="H329" s="1233"/>
      <c r="I329" s="1234"/>
      <c r="J329" s="1234"/>
      <c r="K329" s="1234"/>
      <c r="L329" s="150">
        <f t="shared" si="18"/>
        <v>6132</v>
      </c>
      <c r="M329" s="151" t="str">
        <f t="shared" si="19"/>
        <v>RRQ RAMQ AC</v>
      </c>
      <c r="N329" s="152">
        <f>+IF(OR($Q329=Parametres!$G$2,$Q329=Parametres!$G$3),I329,C329)</f>
        <v>96789.55</v>
      </c>
      <c r="O329" s="152">
        <f>+IF(OR($Q329=Parametres!$G$2,$Q329=Parametres!$G$3),J329,D329)</f>
        <v>9422.26</v>
      </c>
      <c r="P329" s="152">
        <f>+IF(OR($Q329=Parametres!$G$2,$Q329=Parametres!$G$3),K329,E329)</f>
        <v>106211.81</v>
      </c>
      <c r="Q329" s="151" t="str">
        <f t="shared" si="24"/>
        <v>7-Dépenses</v>
      </c>
      <c r="R329" s="150" t="str">
        <f t="shared" si="24"/>
        <v>6132</v>
      </c>
      <c r="S329" s="151">
        <f t="shared" si="24"/>
        <v>0</v>
      </c>
      <c r="T329" s="153">
        <f>+VLOOKUP($L329,Data_Validation!$A:$D,1,0)</f>
        <v>6132</v>
      </c>
      <c r="U329" s="153" t="str">
        <f>+VLOOKUP($L329,Data_Validation!$A:$D,3,0)</f>
        <v>Véhicules neufs</v>
      </c>
      <c r="V329" s="153" t="str">
        <f>+VLOOKUP($L329,Data_Validation!$A:$D,4,0)</f>
        <v>Déduction à la source</v>
      </c>
      <c r="W329" s="153" t="str">
        <f>+VLOOKUP($L329,Data_Validation!$A:$E,5,0)</f>
        <v>$</v>
      </c>
      <c r="X329" s="153">
        <f>+VLOOKUP($L329,Data_Validation!$A:$F,6,0)</f>
        <v>0</v>
      </c>
    </row>
    <row r="330" spans="1:24" ht="15" customHeight="1">
      <c r="A330" s="1430" t="s">
        <v>1411</v>
      </c>
      <c r="B330" s="1433">
        <v>6139</v>
      </c>
      <c r="C330" s="1432">
        <v>69365.83</v>
      </c>
      <c r="D330" s="1432">
        <v>6752.62</v>
      </c>
      <c r="E330" s="1432">
        <v>76118.45</v>
      </c>
      <c r="F330" s="1430" t="s">
        <v>398</v>
      </c>
      <c r="G330" s="1430" t="s">
        <v>2685</v>
      </c>
      <c r="H330" s="1233"/>
      <c r="I330" s="1234"/>
      <c r="J330" s="1234"/>
      <c r="K330" s="1234"/>
      <c r="L330" s="150">
        <f t="shared" si="18"/>
        <v>6139</v>
      </c>
      <c r="M330" s="151" t="str">
        <f t="shared" si="19"/>
        <v>ASSURANCE GROUPS</v>
      </c>
      <c r="N330" s="152">
        <f>+IF(OR($Q330=Parametres!$G$2,$Q330=Parametres!$G$3),I330,C330)</f>
        <v>69365.83</v>
      </c>
      <c r="O330" s="152">
        <f>+IF(OR($Q330=Parametres!$G$2,$Q330=Parametres!$G$3),J330,D330)</f>
        <v>6752.62</v>
      </c>
      <c r="P330" s="152">
        <f>+IF(OR($Q330=Parametres!$G$2,$Q330=Parametres!$G$3),K330,E330)</f>
        <v>76118.45</v>
      </c>
      <c r="Q330" s="151" t="str">
        <f t="shared" si="24"/>
        <v>7-Dépenses</v>
      </c>
      <c r="R330" s="150" t="str">
        <f t="shared" si="24"/>
        <v>6139</v>
      </c>
      <c r="S330" s="151">
        <f t="shared" si="24"/>
        <v>0</v>
      </c>
      <c r="T330" s="153">
        <f>+VLOOKUP($L330,Data_Validation!$A:$D,1,0)</f>
        <v>6139</v>
      </c>
      <c r="U330" s="153" t="str">
        <f>+VLOOKUP($L330,Data_Validation!$A:$D,3,0)</f>
        <v>Véhicules neufs</v>
      </c>
      <c r="V330" s="153" t="str">
        <f>+VLOOKUP($L330,Data_Validation!$A:$D,4,0)</f>
        <v>Bénéfices marginaux</v>
      </c>
      <c r="W330" s="153" t="str">
        <f>+VLOOKUP($L330,Data_Validation!$A:$E,5,0)</f>
        <v>$</v>
      </c>
      <c r="X330" s="153">
        <f>+VLOOKUP($L330,Data_Validation!$A:$F,6,0)</f>
        <v>0</v>
      </c>
    </row>
    <row r="331" spans="1:24" ht="15" customHeight="1">
      <c r="A331" s="1430" t="s">
        <v>1154</v>
      </c>
      <c r="B331" s="1433">
        <v>6142</v>
      </c>
      <c r="C331" s="1432">
        <v>896.77</v>
      </c>
      <c r="D331" s="1432">
        <v>-22.05</v>
      </c>
      <c r="E331" s="1432">
        <v>874.72</v>
      </c>
      <c r="F331" s="1430" t="s">
        <v>398</v>
      </c>
      <c r="G331" s="1430" t="s">
        <v>2554</v>
      </c>
      <c r="H331" s="1233"/>
      <c r="I331" s="1234"/>
      <c r="J331" s="1234"/>
      <c r="K331" s="1234"/>
      <c r="L331" s="150">
        <f t="shared" si="18"/>
        <v>6142</v>
      </c>
      <c r="M331" s="151" t="str">
        <f t="shared" si="19"/>
        <v>FOURNITURES &amp; PETITS OUTILS</v>
      </c>
      <c r="N331" s="152">
        <f>+IF(OR($Q331=Parametres!$G$2,$Q331=Parametres!$G$3),I331,C331)</f>
        <v>896.77</v>
      </c>
      <c r="O331" s="152">
        <f>+IF(OR($Q331=Parametres!$G$2,$Q331=Parametres!$G$3),J331,D331)</f>
        <v>-22.05</v>
      </c>
      <c r="P331" s="152">
        <f>+IF(OR($Q331=Parametres!$G$2,$Q331=Parametres!$G$3),K331,E331)</f>
        <v>874.72</v>
      </c>
      <c r="Q331" s="151" t="str">
        <f t="shared" si="24"/>
        <v>7-Dépenses</v>
      </c>
      <c r="R331" s="150" t="str">
        <f t="shared" si="24"/>
        <v>6142</v>
      </c>
      <c r="S331" s="151">
        <f t="shared" si="24"/>
        <v>0</v>
      </c>
      <c r="T331" s="153">
        <f>+VLOOKUP($L331,Data_Validation!$A:$D,1,0)</f>
        <v>6142</v>
      </c>
      <c r="U331" s="153" t="str">
        <f>+VLOOKUP($L331,Data_Validation!$A:$D,3,0)</f>
        <v>Véhicules neufs</v>
      </c>
      <c r="V331" s="153" t="str">
        <f>+VLOOKUP($L331,Data_Validation!$A:$D,4,0)</f>
        <v>Fournitures autres</v>
      </c>
      <c r="W331" s="153" t="str">
        <f>+VLOOKUP($L331,Data_Validation!$A:$E,5,0)</f>
        <v>$</v>
      </c>
      <c r="X331" s="153">
        <f>+VLOOKUP($L331,Data_Validation!$A:$F,6,0)</f>
        <v>0</v>
      </c>
    </row>
    <row r="332" spans="1:24" ht="15" customHeight="1">
      <c r="A332" s="1430" t="s">
        <v>931</v>
      </c>
      <c r="B332" s="1433">
        <v>6144</v>
      </c>
      <c r="C332" s="1432">
        <v>8270.0300000000007</v>
      </c>
      <c r="D332" s="1432">
        <v>423.33</v>
      </c>
      <c r="E332" s="1432">
        <v>8693.36</v>
      </c>
      <c r="F332" s="1430" t="s">
        <v>398</v>
      </c>
      <c r="G332" s="1430" t="s">
        <v>2552</v>
      </c>
      <c r="H332" s="1233"/>
      <c r="I332" s="1234"/>
      <c r="J332" s="1234"/>
      <c r="K332" s="1234"/>
      <c r="L332" s="150">
        <f t="shared" si="18"/>
        <v>6144</v>
      </c>
      <c r="M332" s="151" t="str">
        <f t="shared" si="19"/>
        <v>FORMATION</v>
      </c>
      <c r="N332" s="152">
        <f>+IF(OR($Q332=Parametres!$G$2,$Q332=Parametres!$G$3),I332,C332)</f>
        <v>8270.0300000000007</v>
      </c>
      <c r="O332" s="152">
        <f>+IF(OR($Q332=Parametres!$G$2,$Q332=Parametres!$G$3),J332,D332)</f>
        <v>423.33</v>
      </c>
      <c r="P332" s="152">
        <f>+IF(OR($Q332=Parametres!$G$2,$Q332=Parametres!$G$3),K332,E332)</f>
        <v>8693.36</v>
      </c>
      <c r="Q332" s="151" t="str">
        <f t="shared" si="24"/>
        <v>7-Dépenses</v>
      </c>
      <c r="R332" s="150" t="str">
        <f t="shared" si="24"/>
        <v>6144</v>
      </c>
      <c r="S332" s="151">
        <f t="shared" si="24"/>
        <v>0</v>
      </c>
      <c r="T332" s="153">
        <f>+VLOOKUP($L332,Data_Validation!$A:$D,1,0)</f>
        <v>6144</v>
      </c>
      <c r="U332" s="153" t="str">
        <f>+VLOOKUP($L332,Data_Validation!$A:$D,3,0)</f>
        <v>Véhicules neufs</v>
      </c>
      <c r="V332" s="153" t="str">
        <f>+VLOOKUP($L332,Data_Validation!$A:$D,4,0)</f>
        <v>Formation</v>
      </c>
      <c r="W332" s="153" t="str">
        <f>+VLOOKUP($L332,Data_Validation!$A:$E,5,0)</f>
        <v>$</v>
      </c>
      <c r="X332" s="153">
        <f>+VLOOKUP($L332,Data_Validation!$A:$F,6,0)</f>
        <v>0</v>
      </c>
    </row>
    <row r="333" spans="1:24" ht="15.75" customHeight="1">
      <c r="A333" s="1430" t="s">
        <v>1183</v>
      </c>
      <c r="B333" s="1433">
        <v>6145</v>
      </c>
      <c r="C333" s="1432">
        <v>61292.15</v>
      </c>
      <c r="D333" s="1432">
        <v>6664.84</v>
      </c>
      <c r="E333" s="1432">
        <v>67956.990000000005</v>
      </c>
      <c r="F333" s="1430" t="s">
        <v>398</v>
      </c>
      <c r="G333" s="1430" t="s">
        <v>2623</v>
      </c>
      <c r="H333" s="1233"/>
      <c r="I333" s="1234"/>
      <c r="J333" s="1234"/>
      <c r="K333" s="1234"/>
      <c r="L333" s="150">
        <f t="shared" si="18"/>
        <v>6145</v>
      </c>
      <c r="M333" s="151" t="str">
        <f t="shared" si="19"/>
        <v>VEHICULE DE COMPAGNIE - DEPENS</v>
      </c>
      <c r="N333" s="152">
        <f>+IF(OR($Q333=Parametres!$G$2,$Q333=Parametres!$G$3),I333,C333)</f>
        <v>61292.15</v>
      </c>
      <c r="O333" s="152">
        <f>+IF(OR($Q333=Parametres!$G$2,$Q333=Parametres!$G$3),J333,D333)</f>
        <v>6664.84</v>
      </c>
      <c r="P333" s="152">
        <f>+IF(OR($Q333=Parametres!$G$2,$Q333=Parametres!$G$3),K333,E333)</f>
        <v>67956.990000000005</v>
      </c>
      <c r="Q333" s="151" t="str">
        <f t="shared" si="24"/>
        <v>7-Dépenses</v>
      </c>
      <c r="R333" s="150" t="str">
        <f t="shared" si="24"/>
        <v>6145</v>
      </c>
      <c r="S333" s="151">
        <f t="shared" si="24"/>
        <v>0</v>
      </c>
      <c r="T333" s="153">
        <f>+VLOOKUP($L333,Data_Validation!$A:$D,1,0)</f>
        <v>6145</v>
      </c>
      <c r="U333" s="153" t="str">
        <f>+VLOOKUP($L333,Data_Validation!$A:$D,3,0)</f>
        <v>Véhicules neufs</v>
      </c>
      <c r="V333" s="153" t="str">
        <f>+VLOOKUP($L333,Data_Validation!$A:$D,4,0)</f>
        <v>Frais véhicules de cie</v>
      </c>
      <c r="W333" s="153" t="str">
        <f>+VLOOKUP($L333,Data_Validation!$A:$E,5,0)</f>
        <v>$</v>
      </c>
      <c r="X333" s="153">
        <f>+VLOOKUP($L333,Data_Validation!$A:$F,6,0)</f>
        <v>0</v>
      </c>
    </row>
    <row r="334" spans="1:24" ht="15.75" customHeight="1">
      <c r="A334" s="1430" t="s">
        <v>1177</v>
      </c>
      <c r="B334" s="1433">
        <v>6147</v>
      </c>
      <c r="C334" s="1432">
        <v>1412.59</v>
      </c>
      <c r="D334" s="1432">
        <v>326.10000000000002</v>
      </c>
      <c r="E334" s="1432">
        <v>1738.69</v>
      </c>
      <c r="F334" s="1430" t="s">
        <v>398</v>
      </c>
      <c r="G334" s="1430" t="s">
        <v>2572</v>
      </c>
      <c r="H334" s="1233"/>
      <c r="I334" s="1234"/>
      <c r="J334" s="1234"/>
      <c r="K334" s="1234"/>
      <c r="L334" s="150">
        <f t="shared" si="18"/>
        <v>6147</v>
      </c>
      <c r="M334" s="151" t="str">
        <f t="shared" si="19"/>
        <v>FRET/EXPRESS/TRANS. PAR CAMION</v>
      </c>
      <c r="N334" s="152">
        <f>+IF(OR($Q334=Parametres!$G$2,$Q334=Parametres!$G$3),I334,C334)</f>
        <v>1412.59</v>
      </c>
      <c r="O334" s="152">
        <f>+IF(OR($Q334=Parametres!$G$2,$Q334=Parametres!$G$3),J334,D334)</f>
        <v>326.10000000000002</v>
      </c>
      <c r="P334" s="152">
        <f>+IF(OR($Q334=Parametres!$G$2,$Q334=Parametres!$G$3),K334,E334)</f>
        <v>1738.69</v>
      </c>
      <c r="Q334" s="151" t="str">
        <f t="shared" si="24"/>
        <v>7-Dépenses</v>
      </c>
      <c r="R334" s="150" t="str">
        <f t="shared" si="24"/>
        <v>6147</v>
      </c>
      <c r="S334" s="151">
        <f t="shared" si="24"/>
        <v>0</v>
      </c>
      <c r="T334" s="153">
        <f>+VLOOKUP($L334,Data_Validation!$A:$D,1,0)</f>
        <v>6147</v>
      </c>
      <c r="U334" s="153" t="str">
        <f>+VLOOKUP($L334,Data_Validation!$A:$D,3,0)</f>
        <v>Véhicules neufs</v>
      </c>
      <c r="V334" s="153" t="str">
        <f>+VLOOKUP($L334,Data_Validation!$A:$D,4,0)</f>
        <v>Frais postaux</v>
      </c>
      <c r="W334" s="153" t="str">
        <f>+VLOOKUP($L334,Data_Validation!$A:$E,5,0)</f>
        <v>$</v>
      </c>
      <c r="X334" s="153">
        <f>+VLOOKUP($L334,Data_Validation!$A:$F,6,0)</f>
        <v>0</v>
      </c>
    </row>
    <row r="335" spans="1:24" ht="15" customHeight="1">
      <c r="A335" s="1430" t="s">
        <v>1283</v>
      </c>
      <c r="B335" s="1433">
        <v>6151</v>
      </c>
      <c r="C335" s="1432">
        <v>50102.85</v>
      </c>
      <c r="D335" s="1432">
        <v>5154.88</v>
      </c>
      <c r="E335" s="1432">
        <v>55257.73</v>
      </c>
      <c r="F335" s="1430" t="s">
        <v>398</v>
      </c>
      <c r="G335" s="1430" t="s">
        <v>2693</v>
      </c>
      <c r="H335" s="1233"/>
      <c r="I335" s="1234"/>
      <c r="J335" s="1234"/>
      <c r="K335" s="1234"/>
      <c r="L335" s="150">
        <f t="shared" si="18"/>
        <v>6151</v>
      </c>
      <c r="M335" s="151" t="str">
        <f t="shared" si="19"/>
        <v>DEP. DU TRAITEMENT DES DONNEES</v>
      </c>
      <c r="N335" s="152">
        <f>+IF(OR($Q335=Parametres!$G$2,$Q335=Parametres!$G$3),I335,C335)</f>
        <v>50102.85</v>
      </c>
      <c r="O335" s="152">
        <f>+IF(OR($Q335=Parametres!$G$2,$Q335=Parametres!$G$3),J335,D335)</f>
        <v>5154.88</v>
      </c>
      <c r="P335" s="152">
        <f>+IF(OR($Q335=Parametres!$G$2,$Q335=Parametres!$G$3),K335,E335)</f>
        <v>55257.73</v>
      </c>
      <c r="Q335" s="151" t="str">
        <f t="shared" si="24"/>
        <v>7-Dépenses</v>
      </c>
      <c r="R335" s="150" t="str">
        <f t="shared" si="24"/>
        <v>6151</v>
      </c>
      <c r="S335" s="151">
        <f t="shared" si="24"/>
        <v>0</v>
      </c>
      <c r="T335" s="153">
        <f>+VLOOKUP($L335,Data_Validation!$A:$D,1,0)</f>
        <v>6151</v>
      </c>
      <c r="U335" s="153" t="str">
        <f>+VLOOKUP($L335,Data_Validation!$A:$D,3,0)</f>
        <v>Véhicules neufs</v>
      </c>
      <c r="V335" s="153" t="str">
        <f>+VLOOKUP($L335,Data_Validation!$A:$D,4,0)</f>
        <v>Informatique</v>
      </c>
      <c r="W335" s="153" t="str">
        <f>+VLOOKUP($L335,Data_Validation!$A:$E,5,0)</f>
        <v>$</v>
      </c>
      <c r="X335" s="153">
        <f>+VLOOKUP($L335,Data_Validation!$A:$F,6,0)</f>
        <v>0</v>
      </c>
    </row>
    <row r="336" spans="1:24" ht="15" customHeight="1">
      <c r="A336" s="1430" t="s">
        <v>1203</v>
      </c>
      <c r="B336" s="1433">
        <v>6152</v>
      </c>
      <c r="C336" s="1432">
        <v>4846.82</v>
      </c>
      <c r="D336" s="1432">
        <v>821.86</v>
      </c>
      <c r="E336" s="1432">
        <v>5668.68</v>
      </c>
      <c r="F336" s="1430" t="s">
        <v>398</v>
      </c>
      <c r="G336" s="1430" t="s">
        <v>2579</v>
      </c>
      <c r="H336" s="1233"/>
      <c r="I336" s="1234"/>
      <c r="J336" s="1234"/>
      <c r="K336" s="1234"/>
      <c r="L336" s="150">
        <f t="shared" si="18"/>
        <v>6152</v>
      </c>
      <c r="M336" s="151" t="str">
        <f t="shared" si="19"/>
        <v>PAPETERIE</v>
      </c>
      <c r="N336" s="152">
        <f>+IF(OR($Q336=Parametres!$G$2,$Q336=Parametres!$G$3),I336,C336)</f>
        <v>4846.82</v>
      </c>
      <c r="O336" s="152">
        <f>+IF(OR($Q336=Parametres!$G$2,$Q336=Parametres!$G$3),J336,D336)</f>
        <v>821.86</v>
      </c>
      <c r="P336" s="152">
        <f>+IF(OR($Q336=Parametres!$G$2,$Q336=Parametres!$G$3),K336,E336)</f>
        <v>5668.68</v>
      </c>
      <c r="Q336" s="151" t="str">
        <f t="shared" si="24"/>
        <v>7-Dépenses</v>
      </c>
      <c r="R336" s="150" t="str">
        <f t="shared" si="24"/>
        <v>6152</v>
      </c>
      <c r="S336" s="151">
        <f t="shared" si="24"/>
        <v>0</v>
      </c>
      <c r="T336" s="153">
        <f>+VLOOKUP($L336,Data_Validation!$A:$D,1,0)</f>
        <v>6152</v>
      </c>
      <c r="U336" s="153" t="str">
        <f>+VLOOKUP($L336,Data_Validation!$A:$D,3,0)</f>
        <v>Véhicules neufs</v>
      </c>
      <c r="V336" s="153" t="str">
        <f>+VLOOKUP($L336,Data_Validation!$A:$D,4,0)</f>
        <v>Papeterie</v>
      </c>
      <c r="W336" s="153" t="str">
        <f>+VLOOKUP($L336,Data_Validation!$A:$E,5,0)</f>
        <v>$</v>
      </c>
      <c r="X336" s="153">
        <f>+VLOOKUP($L336,Data_Validation!$A:$F,6,0)</f>
        <v>0</v>
      </c>
    </row>
    <row r="337" spans="1:24" ht="15" customHeight="1">
      <c r="A337" s="1430" t="s">
        <v>1151</v>
      </c>
      <c r="B337" s="1433">
        <v>6153</v>
      </c>
      <c r="C337" s="1432">
        <v>2746.16</v>
      </c>
      <c r="D337" s="1432">
        <v>228.24</v>
      </c>
      <c r="E337" s="1432">
        <v>2974.4</v>
      </c>
      <c r="F337" s="1430" t="s">
        <v>398</v>
      </c>
      <c r="G337" s="1430" t="s">
        <v>2583</v>
      </c>
      <c r="H337" s="1233"/>
      <c r="I337" s="1239"/>
      <c r="J337" s="1239"/>
      <c r="K337" s="1239"/>
      <c r="L337" s="150">
        <f t="shared" si="18"/>
        <v>6153</v>
      </c>
      <c r="M337" s="151" t="str">
        <f t="shared" si="19"/>
        <v>TELEPHONE ET TELEX</v>
      </c>
      <c r="N337" s="152">
        <f>+IF(OR($Q337=Parametres!$G$2,$Q337=Parametres!$G$3),I337,C337)</f>
        <v>2746.16</v>
      </c>
      <c r="O337" s="152">
        <f>+IF(OR($Q337=Parametres!$G$2,$Q337=Parametres!$G$3),J337,D337)</f>
        <v>228.24</v>
      </c>
      <c r="P337" s="152">
        <f>+IF(OR($Q337=Parametres!$G$2,$Q337=Parametres!$G$3),K337,E337)</f>
        <v>2974.4</v>
      </c>
      <c r="Q337" s="151" t="str">
        <f t="shared" si="24"/>
        <v>7-Dépenses</v>
      </c>
      <c r="R337" s="150" t="str">
        <f t="shared" si="24"/>
        <v>6153</v>
      </c>
      <c r="S337" s="151">
        <f t="shared" si="24"/>
        <v>0</v>
      </c>
      <c r="T337" s="153">
        <f>+VLOOKUP($L337,Data_Validation!$A:$D,1,0)</f>
        <v>6153</v>
      </c>
      <c r="U337" s="153" t="str">
        <f>+VLOOKUP($L337,Data_Validation!$A:$D,3,0)</f>
        <v>Véhicules neufs</v>
      </c>
      <c r="V337" s="153" t="str">
        <f>+VLOOKUP($L337,Data_Validation!$A:$D,4,0)</f>
        <v>Téléphone</v>
      </c>
      <c r="W337" s="153" t="str">
        <f>+VLOOKUP($L337,Data_Validation!$A:$E,5,0)</f>
        <v>$</v>
      </c>
      <c r="X337" s="153">
        <f>+VLOOKUP($L337,Data_Validation!$A:$F,6,0)</f>
        <v>0</v>
      </c>
    </row>
    <row r="338" spans="1:24" ht="15.75" customHeight="1">
      <c r="A338" s="1430" t="s">
        <v>1234</v>
      </c>
      <c r="B338" s="1433">
        <v>6155</v>
      </c>
      <c r="C338" s="1432">
        <v>7554.94</v>
      </c>
      <c r="D338" s="1432">
        <v>1357.86</v>
      </c>
      <c r="E338" s="1432">
        <v>8912.7999999999993</v>
      </c>
      <c r="F338" s="1430" t="s">
        <v>398</v>
      </c>
      <c r="G338" s="1430" t="s">
        <v>2628</v>
      </c>
      <c r="H338" s="1233"/>
      <c r="I338" s="1239"/>
      <c r="J338" s="1239"/>
      <c r="K338" s="1239"/>
      <c r="L338" s="150">
        <f t="shared" si="18"/>
        <v>6155</v>
      </c>
      <c r="M338" s="151" t="str">
        <f t="shared" si="19"/>
        <v>DEPENSES DIVERS</v>
      </c>
      <c r="N338" s="152">
        <f>+IF(OR($Q338=Parametres!$G$2,$Q338=Parametres!$G$3),I338,C338)</f>
        <v>7554.94</v>
      </c>
      <c r="O338" s="152">
        <f>+IF(OR($Q338=Parametres!$G$2,$Q338=Parametres!$G$3),J338,D338)</f>
        <v>1357.86</v>
      </c>
      <c r="P338" s="152">
        <f>+IF(OR($Q338=Parametres!$G$2,$Q338=Parametres!$G$3),K338,E338)</f>
        <v>8912.7999999999993</v>
      </c>
      <c r="Q338" s="151" t="str">
        <f t="shared" ref="Q338:S353" si="25">+F338</f>
        <v>7-Dépenses</v>
      </c>
      <c r="R338" s="150" t="str">
        <f t="shared" si="25"/>
        <v>6155</v>
      </c>
      <c r="S338" s="151">
        <f t="shared" si="25"/>
        <v>0</v>
      </c>
      <c r="T338" s="153">
        <f>+VLOOKUP($L338,Data_Validation!$A:$D,1,0)</f>
        <v>6155</v>
      </c>
      <c r="U338" s="153" t="str">
        <f>+VLOOKUP($L338,Data_Validation!$A:$D,3,0)</f>
        <v>Véhicules neufs</v>
      </c>
      <c r="V338" s="153" t="str">
        <f>+VLOOKUP($L338,Data_Validation!$A:$D,4,0)</f>
        <v>Divers</v>
      </c>
      <c r="W338" s="153" t="str">
        <f>+VLOOKUP($L338,Data_Validation!$A:$E,5,0)</f>
        <v>$</v>
      </c>
      <c r="X338" s="153">
        <f>+VLOOKUP($L338,Data_Validation!$A:$F,6,0)</f>
        <v>0</v>
      </c>
    </row>
    <row r="339" spans="1:24" ht="15" customHeight="1">
      <c r="A339" s="1430" t="s">
        <v>1312</v>
      </c>
      <c r="B339" s="1433">
        <v>6156</v>
      </c>
      <c r="C339" s="1432">
        <v>4647.37</v>
      </c>
      <c r="D339" s="1432">
        <v>1019.01</v>
      </c>
      <c r="E339" s="1432">
        <v>5666.38</v>
      </c>
      <c r="F339" s="1430" t="s">
        <v>398</v>
      </c>
      <c r="G339" s="1430" t="s">
        <v>2461</v>
      </c>
      <c r="H339" s="1233"/>
      <c r="I339" s="1239"/>
      <c r="J339" s="1239"/>
      <c r="K339" s="1239"/>
      <c r="L339" s="150">
        <f t="shared" si="18"/>
        <v>6156</v>
      </c>
      <c r="M339" s="151" t="str">
        <f t="shared" si="19"/>
        <v>FRAIS REPRESENTATION - NEUF</v>
      </c>
      <c r="N339" s="152">
        <f>+IF(OR($Q339=Parametres!$G$2,$Q339=Parametres!$G$3),I339,C339)</f>
        <v>4647.37</v>
      </c>
      <c r="O339" s="152">
        <f>+IF(OR($Q339=Parametres!$G$2,$Q339=Parametres!$G$3),J339,D339)</f>
        <v>1019.01</v>
      </c>
      <c r="P339" s="152">
        <f>+IF(OR($Q339=Parametres!$G$2,$Q339=Parametres!$G$3),K339,E339)</f>
        <v>5666.38</v>
      </c>
      <c r="Q339" s="151" t="str">
        <f t="shared" si="25"/>
        <v>7-Dépenses</v>
      </c>
      <c r="R339" s="150" t="str">
        <f t="shared" si="25"/>
        <v>6156</v>
      </c>
      <c r="S339" s="151">
        <f t="shared" si="25"/>
        <v>0</v>
      </c>
      <c r="T339" s="153">
        <f>+VLOOKUP($L339,Data_Validation!$A:$D,1,0)</f>
        <v>6156</v>
      </c>
      <c r="U339" s="153" t="str">
        <f>+VLOOKUP($L339,Data_Validation!$A:$D,3,0)</f>
        <v>Véhicules neufs</v>
      </c>
      <c r="V339" s="153" t="str">
        <f>+VLOOKUP($L339,Data_Validation!$A:$D,4,0)</f>
        <v>Frais de déplacement</v>
      </c>
      <c r="W339" s="153" t="str">
        <f>+VLOOKUP($L339,Data_Validation!$A:$E,5,0)</f>
        <v>$</v>
      </c>
      <c r="X339" s="153">
        <f>+VLOOKUP($L339,Data_Validation!$A:$F,6,0)</f>
        <v>0</v>
      </c>
    </row>
    <row r="340" spans="1:24" ht="15" customHeight="1">
      <c r="A340" s="1430" t="s">
        <v>1305</v>
      </c>
      <c r="B340" s="1433">
        <v>6159</v>
      </c>
      <c r="C340" s="1432">
        <v>63304.17</v>
      </c>
      <c r="D340" s="1432">
        <v>6678</v>
      </c>
      <c r="E340" s="1432">
        <v>69982.17</v>
      </c>
      <c r="F340" s="1430" t="s">
        <v>398</v>
      </c>
      <c r="G340" s="1430" t="s">
        <v>2653</v>
      </c>
      <c r="H340" s="1233"/>
      <c r="I340" s="1239"/>
      <c r="J340" s="1239"/>
      <c r="K340" s="1239"/>
      <c r="L340" s="150">
        <f t="shared" si="18"/>
        <v>6159</v>
      </c>
      <c r="M340" s="151" t="str">
        <f t="shared" si="19"/>
        <v>SERVICE EXTERIEUR</v>
      </c>
      <c r="N340" s="152">
        <f>+IF(OR($Q340=Parametres!$G$2,$Q340=Parametres!$G$3),I340,C340)</f>
        <v>63304.17</v>
      </c>
      <c r="O340" s="152">
        <f>+IF(OR($Q340=Parametres!$G$2,$Q340=Parametres!$G$3),J340,D340)</f>
        <v>6678</v>
      </c>
      <c r="P340" s="152">
        <f>+IF(OR($Q340=Parametres!$G$2,$Q340=Parametres!$G$3),K340,E340)</f>
        <v>69982.17</v>
      </c>
      <c r="Q340" s="151" t="str">
        <f t="shared" si="25"/>
        <v>7-Dépenses</v>
      </c>
      <c r="R340" s="150" t="str">
        <f t="shared" si="25"/>
        <v>6159</v>
      </c>
      <c r="S340" s="151">
        <f t="shared" si="25"/>
        <v>0</v>
      </c>
      <c r="T340" s="153">
        <f>+VLOOKUP($L340,Data_Validation!$A:$D,1,0)</f>
        <v>6159</v>
      </c>
      <c r="U340" s="153" t="str">
        <f>+VLOOKUP($L340,Data_Validation!$A:$D,3,0)</f>
        <v>Véhicules neufs</v>
      </c>
      <c r="V340" s="153" t="str">
        <f>+VLOOKUP($L340,Data_Validation!$A:$D,4,0)</f>
        <v>Services extérieurs</v>
      </c>
      <c r="W340" s="153" t="str">
        <f>+VLOOKUP($L340,Data_Validation!$A:$E,5,0)</f>
        <v>$</v>
      </c>
      <c r="X340" s="153">
        <f>+VLOOKUP($L340,Data_Validation!$A:$F,6,0)</f>
        <v>0</v>
      </c>
    </row>
    <row r="341" spans="1:24" ht="15" customHeight="1">
      <c r="A341" s="1430" t="s">
        <v>1330</v>
      </c>
      <c r="B341" s="1433">
        <v>6161</v>
      </c>
      <c r="C341" s="1432">
        <v>12680</v>
      </c>
      <c r="D341" s="1432">
        <v>1380.64</v>
      </c>
      <c r="E341" s="1432">
        <v>14060.64</v>
      </c>
      <c r="F341" s="1430" t="s">
        <v>398</v>
      </c>
      <c r="G341" s="1430" t="s">
        <v>2644</v>
      </c>
      <c r="H341" s="1233"/>
      <c r="I341" s="1240"/>
      <c r="J341" s="1240"/>
      <c r="K341" s="1240"/>
      <c r="L341" s="150">
        <f t="shared" si="18"/>
        <v>6161</v>
      </c>
      <c r="M341" s="151" t="str">
        <f t="shared" si="19"/>
        <v>DEPRECIATION EQUIP. &amp; FIXTURES</v>
      </c>
      <c r="N341" s="152">
        <f>+IF(OR($Q341=Parametres!$G$2,$Q341=Parametres!$G$3),I341,C341)</f>
        <v>12680</v>
      </c>
      <c r="O341" s="152">
        <f>+IF(OR($Q341=Parametres!$G$2,$Q341=Parametres!$G$3),J341,D341)</f>
        <v>1380.64</v>
      </c>
      <c r="P341" s="152">
        <f>+IF(OR($Q341=Parametres!$G$2,$Q341=Parametres!$G$3),K341,E341)</f>
        <v>14060.64</v>
      </c>
      <c r="Q341" s="151" t="str">
        <f t="shared" si="25"/>
        <v>7-Dépenses</v>
      </c>
      <c r="R341" s="150" t="str">
        <f t="shared" si="25"/>
        <v>6161</v>
      </c>
      <c r="S341" s="151">
        <f t="shared" si="25"/>
        <v>0</v>
      </c>
      <c r="T341" s="153">
        <f>+VLOOKUP($L341,Data_Validation!$A:$D,1,0)</f>
        <v>6161</v>
      </c>
      <c r="U341" s="153" t="str">
        <f>+VLOOKUP($L341,Data_Validation!$A:$D,3,0)</f>
        <v>Véhicules neufs</v>
      </c>
      <c r="V341" s="153" t="str">
        <f>+VLOOKUP($L341,Data_Validation!$A:$D,4,0)</f>
        <v>Amortissement</v>
      </c>
      <c r="W341" s="153" t="str">
        <f>+VLOOKUP($L341,Data_Validation!$A:$E,5,0)</f>
        <v>$</v>
      </c>
      <c r="X341" s="153">
        <f>+VLOOKUP($L341,Data_Validation!$A:$F,6,0)</f>
        <v>0</v>
      </c>
    </row>
    <row r="342" spans="1:24" ht="15" customHeight="1">
      <c r="A342" s="1430" t="s">
        <v>1329</v>
      </c>
      <c r="B342" s="1433">
        <v>6181</v>
      </c>
      <c r="C342" s="1432">
        <v>7157.85</v>
      </c>
      <c r="D342" s="1432">
        <v>1207.98</v>
      </c>
      <c r="E342" s="1432">
        <v>8365.83</v>
      </c>
      <c r="F342" s="1430" t="s">
        <v>398</v>
      </c>
      <c r="G342" s="1430" t="s">
        <v>2595</v>
      </c>
      <c r="H342" s="1233"/>
      <c r="I342" s="1240"/>
      <c r="J342" s="1240"/>
      <c r="K342" s="1240"/>
      <c r="L342" s="150">
        <f t="shared" si="18"/>
        <v>6181</v>
      </c>
      <c r="M342" s="151" t="str">
        <f t="shared" si="19"/>
        <v>ELECTRICITE CHAUFFAGE</v>
      </c>
      <c r="N342" s="152">
        <f>+IF(OR($Q342=Parametres!$G$2,$Q342=Parametres!$G$3),I342,C342)</f>
        <v>7157.85</v>
      </c>
      <c r="O342" s="152">
        <f>+IF(OR($Q342=Parametres!$G$2,$Q342=Parametres!$G$3),J342,D342)</f>
        <v>1207.98</v>
      </c>
      <c r="P342" s="152">
        <f>+IF(OR($Q342=Parametres!$G$2,$Q342=Parametres!$G$3),K342,E342)</f>
        <v>8365.83</v>
      </c>
      <c r="Q342" s="151" t="str">
        <f t="shared" si="25"/>
        <v>7-Dépenses</v>
      </c>
      <c r="R342" s="150" t="str">
        <f t="shared" si="25"/>
        <v>6181</v>
      </c>
      <c r="S342" s="151">
        <f t="shared" si="25"/>
        <v>0</v>
      </c>
      <c r="T342" s="153">
        <f>+VLOOKUP($L342,Data_Validation!$A:$D,1,0)</f>
        <v>6181</v>
      </c>
      <c r="U342" s="153" t="str">
        <f>+VLOOKUP($L342,Data_Validation!$A:$D,3,0)</f>
        <v>Véhicules neufs</v>
      </c>
      <c r="V342" s="153" t="str">
        <f>+VLOOKUP($L342,Data_Validation!$A:$D,4,0)</f>
        <v>Chauffage, éclairage</v>
      </c>
      <c r="W342" s="153" t="str">
        <f>+VLOOKUP($L342,Data_Validation!$A:$E,5,0)</f>
        <v>$</v>
      </c>
      <c r="X342" s="153">
        <f>+VLOOKUP($L342,Data_Validation!$A:$F,6,0)</f>
        <v>0</v>
      </c>
    </row>
    <row r="343" spans="1:24" ht="15.75" customHeight="1">
      <c r="A343" s="1430" t="s">
        <v>1466</v>
      </c>
      <c r="B343" s="1433">
        <v>6182</v>
      </c>
      <c r="C343" s="1432">
        <v>74880</v>
      </c>
      <c r="D343" s="1432">
        <v>8320</v>
      </c>
      <c r="E343" s="1432">
        <v>83200</v>
      </c>
      <c r="F343" s="1430" t="s">
        <v>398</v>
      </c>
      <c r="G343" s="1430" t="s">
        <v>2700</v>
      </c>
      <c r="H343" s="1233"/>
      <c r="I343" s="1240"/>
      <c r="J343" s="1240"/>
      <c r="K343" s="1240"/>
      <c r="L343" s="150">
        <f t="shared" si="18"/>
        <v>6182</v>
      </c>
      <c r="M343" s="151" t="str">
        <f t="shared" si="19"/>
        <v>LOYER NEUFS</v>
      </c>
      <c r="N343" s="152">
        <f>+IF(OR($Q343=Parametres!$G$2,$Q343=Parametres!$G$3),I343,C343)</f>
        <v>74880</v>
      </c>
      <c r="O343" s="152">
        <f>+IF(OR($Q343=Parametres!$G$2,$Q343=Parametres!$G$3),J343,D343)</f>
        <v>8320</v>
      </c>
      <c r="P343" s="152">
        <f>+IF(OR($Q343=Parametres!$G$2,$Q343=Parametres!$G$3),K343,E343)</f>
        <v>83200</v>
      </c>
      <c r="Q343" s="151" t="str">
        <f t="shared" si="25"/>
        <v>7-Dépenses</v>
      </c>
      <c r="R343" s="150" t="str">
        <f t="shared" si="25"/>
        <v>6182</v>
      </c>
      <c r="S343" s="151">
        <f t="shared" si="25"/>
        <v>0</v>
      </c>
      <c r="T343" s="153">
        <f>+VLOOKUP($L343,Data_Validation!$A:$D,1,0)</f>
        <v>6182</v>
      </c>
      <c r="U343" s="153" t="str">
        <f>+VLOOKUP($L343,Data_Validation!$A:$D,3,0)</f>
        <v>Véhicules neufs</v>
      </c>
      <c r="V343" s="153" t="str">
        <f>+VLOOKUP($L343,Data_Validation!$A:$D,4,0)</f>
        <v>Loyer</v>
      </c>
      <c r="W343" s="153" t="str">
        <f>+VLOOKUP($L343,Data_Validation!$A:$E,5,0)</f>
        <v>$</v>
      </c>
      <c r="X343" s="153">
        <f>+VLOOKUP($L343,Data_Validation!$A:$F,6,0)</f>
        <v>0</v>
      </c>
    </row>
    <row r="344" spans="1:24" ht="15" customHeight="1">
      <c r="A344" s="1430" t="s">
        <v>1363</v>
      </c>
      <c r="B344" s="1433">
        <v>6186</v>
      </c>
      <c r="C344" s="1432">
        <v>10679.4</v>
      </c>
      <c r="D344" s="1432">
        <v>1186.5999999999999</v>
      </c>
      <c r="E344" s="1432">
        <v>11866</v>
      </c>
      <c r="F344" s="1430" t="s">
        <v>398</v>
      </c>
      <c r="G344" s="1430" t="s">
        <v>2585</v>
      </c>
      <c r="H344" s="1233"/>
      <c r="I344" s="1240"/>
      <c r="J344" s="1240"/>
      <c r="K344" s="1240"/>
      <c r="L344" s="150">
        <f t="shared" si="18"/>
        <v>6186</v>
      </c>
      <c r="M344" s="151" t="str">
        <f t="shared" si="19"/>
        <v>ASSURANCE BATIMENT</v>
      </c>
      <c r="N344" s="152">
        <f>+IF(OR($Q344=Parametres!$G$2,$Q344=Parametres!$G$3),I344,C344)</f>
        <v>10679.4</v>
      </c>
      <c r="O344" s="152">
        <f>+IF(OR($Q344=Parametres!$G$2,$Q344=Parametres!$G$3),J344,D344)</f>
        <v>1186.5999999999999</v>
      </c>
      <c r="P344" s="152">
        <f>+IF(OR($Q344=Parametres!$G$2,$Q344=Parametres!$G$3),K344,E344)</f>
        <v>11866</v>
      </c>
      <c r="Q344" s="151" t="str">
        <f t="shared" si="25"/>
        <v>7-Dépenses</v>
      </c>
      <c r="R344" s="150" t="str">
        <f t="shared" si="25"/>
        <v>6186</v>
      </c>
      <c r="S344" s="151">
        <f t="shared" si="25"/>
        <v>0</v>
      </c>
      <c r="T344" s="153">
        <f>+VLOOKUP($L344,Data_Validation!$A:$D,1,0)</f>
        <v>6186</v>
      </c>
      <c r="U344" s="153" t="str">
        <f>+VLOOKUP($L344,Data_Validation!$A:$D,3,0)</f>
        <v>Véhicules neufs</v>
      </c>
      <c r="V344" s="153" t="str">
        <f>+VLOOKUP($L344,Data_Validation!$A:$D,4,0)</f>
        <v>Assurances</v>
      </c>
      <c r="W344" s="153" t="str">
        <f>+VLOOKUP($L344,Data_Validation!$A:$E,5,0)</f>
        <v>$</v>
      </c>
      <c r="X344" s="153">
        <f>+VLOOKUP($L344,Data_Validation!$A:$F,6,0)</f>
        <v>0</v>
      </c>
    </row>
    <row r="345" spans="1:24" ht="15" customHeight="1">
      <c r="A345" s="1430" t="s">
        <v>1359</v>
      </c>
      <c r="B345" s="1433">
        <v>6187</v>
      </c>
      <c r="C345" s="1432">
        <v>13852.8</v>
      </c>
      <c r="D345" s="1432">
        <v>1539.2</v>
      </c>
      <c r="E345" s="1432">
        <v>15392</v>
      </c>
      <c r="F345" s="1430" t="s">
        <v>398</v>
      </c>
      <c r="G345" s="1430" t="s">
        <v>2605</v>
      </c>
      <c r="H345" s="1233"/>
      <c r="I345" s="1240"/>
      <c r="J345" s="1240"/>
      <c r="K345" s="1240"/>
      <c r="L345" s="150">
        <f t="shared" si="18"/>
        <v>6187</v>
      </c>
      <c r="M345" s="151" t="str">
        <f t="shared" si="19"/>
        <v>TAXE SUR PROPRIETE</v>
      </c>
      <c r="N345" s="152">
        <f>+IF(OR($Q345=Parametres!$G$2,$Q345=Parametres!$G$3),I345,C345)</f>
        <v>13852.8</v>
      </c>
      <c r="O345" s="152">
        <f>+IF(OR($Q345=Parametres!$G$2,$Q345=Parametres!$G$3),J345,D345)</f>
        <v>1539.2</v>
      </c>
      <c r="P345" s="152">
        <f>+IF(OR($Q345=Parametres!$G$2,$Q345=Parametres!$G$3),K345,E345)</f>
        <v>15392</v>
      </c>
      <c r="Q345" s="151" t="str">
        <f t="shared" si="25"/>
        <v>7-Dépenses</v>
      </c>
      <c r="R345" s="150" t="str">
        <f t="shared" si="25"/>
        <v>6187</v>
      </c>
      <c r="S345" s="151">
        <f t="shared" si="25"/>
        <v>0</v>
      </c>
      <c r="T345" s="153">
        <f>+VLOOKUP($L345,Data_Validation!$A:$D,1,0)</f>
        <v>6187</v>
      </c>
      <c r="U345" s="153" t="str">
        <f>+VLOOKUP($L345,Data_Validation!$A:$D,3,0)</f>
        <v>Véhicules neufs</v>
      </c>
      <c r="V345" s="153" t="str">
        <f>+VLOOKUP($L345,Data_Validation!$A:$D,4,0)</f>
        <v>Taxes foncières</v>
      </c>
      <c r="W345" s="153" t="str">
        <f>+VLOOKUP($L345,Data_Validation!$A:$E,5,0)</f>
        <v>$</v>
      </c>
      <c r="X345" s="153">
        <f>+VLOOKUP($L345,Data_Validation!$A:$F,6,0)</f>
        <v>0</v>
      </c>
    </row>
    <row r="346" spans="1:24" ht="15" customHeight="1">
      <c r="A346" s="1430" t="s">
        <v>1293</v>
      </c>
      <c r="B346" s="1433">
        <v>6193</v>
      </c>
      <c r="C346" s="1432">
        <v>9216</v>
      </c>
      <c r="D346" s="1432">
        <v>1024</v>
      </c>
      <c r="E346" s="1432">
        <v>10240</v>
      </c>
      <c r="F346" s="1430" t="s">
        <v>398</v>
      </c>
      <c r="G346" s="1430" t="s">
        <v>2588</v>
      </c>
      <c r="H346" s="1233"/>
      <c r="I346" s="1240"/>
      <c r="J346" s="1240"/>
      <c r="K346" s="1240"/>
      <c r="L346" s="150">
        <f t="shared" si="18"/>
        <v>6193</v>
      </c>
      <c r="M346" s="151" t="str">
        <f t="shared" si="19"/>
        <v>TAXES AUTRES PERMIS LICENCE</v>
      </c>
      <c r="N346" s="152">
        <f>+IF(OR($Q346=Parametres!$G$2,$Q346=Parametres!$G$3),I346,C346)</f>
        <v>9216</v>
      </c>
      <c r="O346" s="152">
        <f>+IF(OR($Q346=Parametres!$G$2,$Q346=Parametres!$G$3),J346,D346)</f>
        <v>1024</v>
      </c>
      <c r="P346" s="152">
        <f>+IF(OR($Q346=Parametres!$G$2,$Q346=Parametres!$G$3),K346,E346)</f>
        <v>10240</v>
      </c>
      <c r="Q346" s="151" t="str">
        <f t="shared" si="25"/>
        <v>7-Dépenses</v>
      </c>
      <c r="R346" s="150" t="str">
        <f t="shared" si="25"/>
        <v>6193</v>
      </c>
      <c r="S346" s="151">
        <f t="shared" si="25"/>
        <v>0</v>
      </c>
      <c r="T346" s="153">
        <f>+VLOOKUP($L346,Data_Validation!$A:$D,1,0)</f>
        <v>6193</v>
      </c>
      <c r="U346" s="153" t="str">
        <f>+VLOOKUP($L346,Data_Validation!$A:$D,3,0)</f>
        <v>Véhicules neufs</v>
      </c>
      <c r="V346" s="153" t="str">
        <f>+VLOOKUP($L346,Data_Validation!$A:$D,4,0)</f>
        <v>Taxes d`affaires</v>
      </c>
      <c r="W346" s="153" t="str">
        <f>+VLOOKUP($L346,Data_Validation!$A:$E,5,0)</f>
        <v>$</v>
      </c>
      <c r="X346" s="153">
        <f>+VLOOKUP($L346,Data_Validation!$A:$F,6,0)</f>
        <v>0</v>
      </c>
    </row>
    <row r="347" spans="1:24" ht="15.75" customHeight="1">
      <c r="A347" s="1430" t="s">
        <v>1392</v>
      </c>
      <c r="B347" s="1433">
        <v>6194</v>
      </c>
      <c r="C347" s="1432">
        <v>18604.97</v>
      </c>
      <c r="D347" s="1432">
        <v>1989.47</v>
      </c>
      <c r="E347" s="1432">
        <v>20594.439999999999</v>
      </c>
      <c r="F347" s="1430" t="s">
        <v>398</v>
      </c>
      <c r="G347" s="1430" t="s">
        <v>2626</v>
      </c>
      <c r="H347" s="1233"/>
      <c r="I347" s="1240"/>
      <c r="J347" s="1240"/>
      <c r="K347" s="1240"/>
      <c r="L347" s="150">
        <f t="shared" si="18"/>
        <v>6194</v>
      </c>
      <c r="M347" s="151" t="str">
        <f t="shared" si="19"/>
        <v>HONORAIRES PROFESSIONNELS</v>
      </c>
      <c r="N347" s="152">
        <f>+IF(OR($Q347=Parametres!$G$2,$Q347=Parametres!$G$3),I347,C347)</f>
        <v>18604.97</v>
      </c>
      <c r="O347" s="152">
        <f>+IF(OR($Q347=Parametres!$G$2,$Q347=Parametres!$G$3),J347,D347)</f>
        <v>1989.47</v>
      </c>
      <c r="P347" s="152">
        <f>+IF(OR($Q347=Parametres!$G$2,$Q347=Parametres!$G$3),K347,E347)</f>
        <v>20594.439999999999</v>
      </c>
      <c r="Q347" s="151" t="str">
        <f t="shared" si="25"/>
        <v>7-Dépenses</v>
      </c>
      <c r="R347" s="150" t="str">
        <f t="shared" si="25"/>
        <v>6194</v>
      </c>
      <c r="S347" s="151">
        <f t="shared" si="25"/>
        <v>0</v>
      </c>
      <c r="T347" s="153">
        <f>+VLOOKUP($L347,Data_Validation!$A:$D,1,0)</f>
        <v>6194</v>
      </c>
      <c r="U347" s="153" t="str">
        <f>+VLOOKUP($L347,Data_Validation!$A:$D,3,0)</f>
        <v>Véhicules neufs</v>
      </c>
      <c r="V347" s="153" t="str">
        <f>+VLOOKUP($L347,Data_Validation!$A:$D,4,0)</f>
        <v>Honoraires</v>
      </c>
      <c r="W347" s="153" t="str">
        <f>+VLOOKUP($L347,Data_Validation!$A:$E,5,0)</f>
        <v>$</v>
      </c>
      <c r="X347" s="153">
        <f>+VLOOKUP($L347,Data_Validation!$A:$F,6,0)</f>
        <v>0</v>
      </c>
    </row>
    <row r="348" spans="1:24" ht="15" customHeight="1">
      <c r="A348" s="1430" t="s">
        <v>1480</v>
      </c>
      <c r="B348" s="1433">
        <v>6201</v>
      </c>
      <c r="C348" s="1432">
        <v>159247.70000000001</v>
      </c>
      <c r="D348" s="1432">
        <v>17065.98</v>
      </c>
      <c r="E348" s="1432">
        <v>176313.68</v>
      </c>
      <c r="F348" s="1430" t="s">
        <v>398</v>
      </c>
      <c r="G348" s="1430" t="s">
        <v>2772</v>
      </c>
      <c r="H348" s="1233"/>
      <c r="I348" s="1240"/>
      <c r="J348" s="1240"/>
      <c r="K348" s="1240"/>
      <c r="L348" s="150">
        <f t="shared" si="18"/>
        <v>6201</v>
      </c>
      <c r="M348" s="151" t="str">
        <f t="shared" si="19"/>
        <v>COMMISSION USAGES</v>
      </c>
      <c r="N348" s="152">
        <f>+IF(OR($Q348=Parametres!$G$2,$Q348=Parametres!$G$3),I348,C348)</f>
        <v>159247.70000000001</v>
      </c>
      <c r="O348" s="152">
        <f>+IF(OR($Q348=Parametres!$G$2,$Q348=Parametres!$G$3),J348,D348)</f>
        <v>17065.98</v>
      </c>
      <c r="P348" s="152">
        <f>+IF(OR($Q348=Parametres!$G$2,$Q348=Parametres!$G$3),K348,E348)</f>
        <v>176313.68</v>
      </c>
      <c r="Q348" s="151" t="str">
        <f t="shared" si="25"/>
        <v>7-Dépenses</v>
      </c>
      <c r="R348" s="150" t="str">
        <f t="shared" si="25"/>
        <v>6101</v>
      </c>
      <c r="S348" s="151">
        <f t="shared" si="25"/>
        <v>0</v>
      </c>
      <c r="T348" s="153">
        <f>+VLOOKUP($L348,Data_Validation!$A:$D,1,0)</f>
        <v>6201</v>
      </c>
      <c r="U348" s="153" t="str">
        <f>+VLOOKUP($L348,Data_Validation!$A:$D,3,0)</f>
        <v>Véhicules usagés</v>
      </c>
      <c r="V348" s="153" t="str">
        <f>+VLOOKUP($L348,Data_Validation!$A:$D,4,0)</f>
        <v>Comm. vendeurs</v>
      </c>
      <c r="W348" s="153" t="str">
        <f>+VLOOKUP($L348,Data_Validation!$A:$E,5,0)</f>
        <v>$</v>
      </c>
      <c r="X348" s="153">
        <f>+VLOOKUP($L348,Data_Validation!$A:$F,6,0)</f>
        <v>0</v>
      </c>
    </row>
    <row r="349" spans="1:24" ht="15" customHeight="1">
      <c r="A349" s="1430" t="s">
        <v>1439</v>
      </c>
      <c r="B349" s="1433">
        <v>6202</v>
      </c>
      <c r="C349" s="1432">
        <v>189616.54</v>
      </c>
      <c r="D349" s="1432">
        <v>24365.25</v>
      </c>
      <c r="E349" s="1432">
        <v>213981.79</v>
      </c>
      <c r="F349" s="1430" t="s">
        <v>398</v>
      </c>
      <c r="G349" s="1430" t="s">
        <v>2761</v>
      </c>
      <c r="H349" s="1233"/>
      <c r="I349" s="1240"/>
      <c r="J349" s="1240"/>
      <c r="K349" s="1240"/>
      <c r="L349" s="150">
        <f t="shared" si="18"/>
        <v>6202</v>
      </c>
      <c r="M349" s="151" t="str">
        <f t="shared" si="19"/>
        <v>RENUMERATION F &amp; I</v>
      </c>
      <c r="N349" s="152">
        <f>+IF(OR($Q349=Parametres!$G$2,$Q349=Parametres!$G$3),I349,C349)</f>
        <v>189616.54</v>
      </c>
      <c r="O349" s="152">
        <f>+IF(OR($Q349=Parametres!$G$2,$Q349=Parametres!$G$3),J349,D349)</f>
        <v>24365.25</v>
      </c>
      <c r="P349" s="152">
        <f>+IF(OR($Q349=Parametres!$G$2,$Q349=Parametres!$G$3),K349,E349)</f>
        <v>213981.79</v>
      </c>
      <c r="Q349" s="151" t="str">
        <f t="shared" si="25"/>
        <v>7-Dépenses</v>
      </c>
      <c r="R349" s="150" t="str">
        <f t="shared" si="25"/>
        <v>6102</v>
      </c>
      <c r="S349" s="151">
        <f t="shared" si="25"/>
        <v>0</v>
      </c>
      <c r="T349" s="153">
        <f>+VLOOKUP($L349,Data_Validation!$A:$D,1,0)</f>
        <v>6202</v>
      </c>
      <c r="U349" s="153" t="str">
        <f>+VLOOKUP($L349,Data_Validation!$A:$D,3,0)</f>
        <v>Véhicules usagés</v>
      </c>
      <c r="V349" s="153" t="str">
        <f>+VLOOKUP($L349,Data_Validation!$A:$D,4,0)</f>
        <v>Comm. F&amp;I</v>
      </c>
      <c r="W349" s="153" t="str">
        <f>+VLOOKUP($L349,Data_Validation!$A:$E,5,0)</f>
        <v>$</v>
      </c>
      <c r="X349" s="153">
        <f>+VLOOKUP($L349,Data_Validation!$A:$F,6,0)</f>
        <v>0</v>
      </c>
    </row>
    <row r="350" spans="1:24" ht="15" customHeight="1">
      <c r="A350" s="1430" t="s">
        <v>1227</v>
      </c>
      <c r="B350" s="1433">
        <v>6203</v>
      </c>
      <c r="C350" s="1432">
        <v>3498.69</v>
      </c>
      <c r="D350" s="1432">
        <v>4069.76</v>
      </c>
      <c r="E350" s="1432">
        <v>7568.45</v>
      </c>
      <c r="F350" s="1430" t="s">
        <v>398</v>
      </c>
      <c r="G350" s="1430" t="s">
        <v>2697</v>
      </c>
      <c r="H350" s="1233"/>
      <c r="I350" s="1240"/>
      <c r="J350" s="1240"/>
      <c r="K350" s="1240"/>
      <c r="L350" s="150">
        <f t="shared" si="18"/>
        <v>6203</v>
      </c>
      <c r="M350" s="151" t="str">
        <f t="shared" si="19"/>
        <v>RELAT. A LA CLIENTELLE &amp; AJUST</v>
      </c>
      <c r="N350" s="152">
        <f>+IF(OR($Q350=Parametres!$G$2,$Q350=Parametres!$G$3),I350,C350)</f>
        <v>3498.69</v>
      </c>
      <c r="O350" s="152">
        <f>+IF(OR($Q350=Parametres!$G$2,$Q350=Parametres!$G$3),J350,D350)</f>
        <v>4069.76</v>
      </c>
      <c r="P350" s="152">
        <f>+IF(OR($Q350=Parametres!$G$2,$Q350=Parametres!$G$3),K350,E350)</f>
        <v>7568.45</v>
      </c>
      <c r="Q350" s="151" t="str">
        <f t="shared" si="25"/>
        <v>7-Dépenses</v>
      </c>
      <c r="R350" s="150" t="str">
        <f t="shared" si="25"/>
        <v>6103</v>
      </c>
      <c r="S350" s="151">
        <f t="shared" si="25"/>
        <v>0</v>
      </c>
      <c r="T350" s="153">
        <f>+VLOOKUP($L350,Data_Validation!$A:$D,1,0)</f>
        <v>6203</v>
      </c>
      <c r="U350" s="153" t="str">
        <f>+VLOOKUP($L350,Data_Validation!$A:$D,3,0)</f>
        <v>Véhicules usagés</v>
      </c>
      <c r="V350" s="153" t="str">
        <f>+VLOOKUP($L350,Data_Validation!$A:$D,4,0)</f>
        <v>Service gratuit 1</v>
      </c>
      <c r="W350" s="153" t="str">
        <f>+VLOOKUP($L350,Data_Validation!$A:$E,5,0)</f>
        <v>$</v>
      </c>
      <c r="X350" s="153">
        <f>+VLOOKUP($L350,Data_Validation!$A:$F,6,0)</f>
        <v>0</v>
      </c>
    </row>
    <row r="351" spans="1:24" ht="15" customHeight="1">
      <c r="A351" s="1430" t="s">
        <v>2748</v>
      </c>
      <c r="B351" s="1433">
        <v>6206</v>
      </c>
      <c r="C351" s="1432">
        <v>30709</v>
      </c>
      <c r="D351" s="1432">
        <v>3740.95</v>
      </c>
      <c r="E351" s="1432">
        <v>34449.949999999997</v>
      </c>
      <c r="F351" s="1430" t="s">
        <v>398</v>
      </c>
      <c r="G351" s="1430" t="s">
        <v>2750</v>
      </c>
      <c r="H351" s="1233"/>
      <c r="I351" s="1240"/>
      <c r="J351" s="1240"/>
      <c r="K351" s="1240"/>
      <c r="L351" s="150">
        <f t="shared" si="18"/>
        <v>6206</v>
      </c>
      <c r="M351" s="151" t="str">
        <f t="shared" si="19"/>
        <v>ENTRETIEN DES STOCKS</v>
      </c>
      <c r="N351" s="152">
        <f>+IF(OR($Q351=Parametres!$G$2,$Q351=Parametres!$G$3),I351,C351)</f>
        <v>30709</v>
      </c>
      <c r="O351" s="152">
        <f>+IF(OR($Q351=Parametres!$G$2,$Q351=Parametres!$G$3),J351,D351)</f>
        <v>3740.95</v>
      </c>
      <c r="P351" s="152">
        <f>+IF(OR($Q351=Parametres!$G$2,$Q351=Parametres!$G$3),K351,E351)</f>
        <v>34449.949999999997</v>
      </c>
      <c r="Q351" s="151" t="str">
        <f t="shared" si="25"/>
        <v>7-Dépenses</v>
      </c>
      <c r="R351" s="150" t="str">
        <f t="shared" si="25"/>
        <v>6106</v>
      </c>
      <c r="S351" s="151">
        <f t="shared" si="25"/>
        <v>0</v>
      </c>
      <c r="T351" s="153">
        <f>+VLOOKUP($L351,Data_Validation!$A:$D,1,0)</f>
        <v>6206</v>
      </c>
      <c r="U351" s="153" t="str">
        <f>+VLOOKUP($L351,Data_Validation!$A:$D,3,0)</f>
        <v>Véhicules usagés</v>
      </c>
      <c r="V351" s="153" t="str">
        <f>+VLOOKUP($L351,Data_Validation!$A:$D,4,0)</f>
        <v>Entretien stock</v>
      </c>
      <c r="W351" s="153" t="str">
        <f>+VLOOKUP($L351,Data_Validation!$A:$E,5,0)</f>
        <v>$</v>
      </c>
      <c r="X351" s="153">
        <f>+VLOOKUP($L351,Data_Validation!$A:$F,6,0)</f>
        <v>0</v>
      </c>
    </row>
    <row r="352" spans="1:24" ht="15.75" customHeight="1">
      <c r="A352" s="1430" t="s">
        <v>935</v>
      </c>
      <c r="B352" s="1433">
        <v>6207</v>
      </c>
      <c r="C352" s="1432">
        <v>4715.82</v>
      </c>
      <c r="D352" s="1432">
        <v>555.39</v>
      </c>
      <c r="E352" s="1432">
        <v>5271.21</v>
      </c>
      <c r="F352" s="1430" t="s">
        <v>398</v>
      </c>
      <c r="G352" s="1430" t="s">
        <v>2603</v>
      </c>
      <c r="H352" s="1233"/>
      <c r="I352" s="1240"/>
      <c r="J352" s="1240"/>
      <c r="K352" s="1240"/>
      <c r="L352" s="150">
        <f t="shared" si="18"/>
        <v>6207</v>
      </c>
      <c r="M352" s="151" t="str">
        <f t="shared" si="19"/>
        <v>INTERET-PLAN DE FINANCEMENT</v>
      </c>
      <c r="N352" s="152">
        <f>+IF(OR($Q352=Parametres!$G$2,$Q352=Parametres!$G$3),I352,C352)</f>
        <v>4715.82</v>
      </c>
      <c r="O352" s="152">
        <f>+IF(OR($Q352=Parametres!$G$2,$Q352=Parametres!$G$3),J352,D352)</f>
        <v>555.39</v>
      </c>
      <c r="P352" s="152">
        <f>+IF(OR($Q352=Parametres!$G$2,$Q352=Parametres!$G$3),K352,E352)</f>
        <v>5271.21</v>
      </c>
      <c r="Q352" s="151" t="str">
        <f t="shared" si="25"/>
        <v>7-Dépenses</v>
      </c>
      <c r="R352" s="150" t="str">
        <f t="shared" si="25"/>
        <v>6107</v>
      </c>
      <c r="S352" s="151">
        <f t="shared" si="25"/>
        <v>0</v>
      </c>
      <c r="T352" s="153">
        <f>+VLOOKUP($L352,Data_Validation!$A:$D,1,0)</f>
        <v>6207</v>
      </c>
      <c r="U352" s="153" t="str">
        <f>+VLOOKUP($L352,Data_Validation!$A:$D,3,0)</f>
        <v>Véhicules usagés</v>
      </c>
      <c r="V352" s="153" t="str">
        <f>+VLOOKUP($L352,Data_Validation!$A:$D,4,0)</f>
        <v>Intérêt de gros</v>
      </c>
      <c r="W352" s="153" t="str">
        <f>+VLOOKUP($L352,Data_Validation!$A:$E,5,0)</f>
        <v>$</v>
      </c>
      <c r="X352" s="153">
        <f>+VLOOKUP($L352,Data_Validation!$A:$F,6,0)</f>
        <v>0</v>
      </c>
    </row>
    <row r="353" spans="1:24" ht="15" customHeight="1">
      <c r="A353" s="1430" t="s">
        <v>1404</v>
      </c>
      <c r="B353" s="1433">
        <v>6208</v>
      </c>
      <c r="C353" s="1432">
        <v>23618.79</v>
      </c>
      <c r="D353" s="1432">
        <v>3192.56</v>
      </c>
      <c r="E353" s="1432">
        <v>26811.35</v>
      </c>
      <c r="F353" s="1430" t="s">
        <v>398</v>
      </c>
      <c r="G353" s="1430" t="s">
        <v>2687</v>
      </c>
      <c r="H353" s="1233"/>
      <c r="I353" s="1240"/>
      <c r="J353" s="1240"/>
      <c r="K353" s="1240"/>
      <c r="L353" s="150">
        <f t="shared" si="18"/>
        <v>6208</v>
      </c>
      <c r="M353" s="151" t="str">
        <f t="shared" si="19"/>
        <v>FRAIS DE LIVRAISON</v>
      </c>
      <c r="N353" s="152">
        <f>+IF(OR($Q353=Parametres!$G$2,$Q353=Parametres!$G$3),I353,C353)</f>
        <v>23618.79</v>
      </c>
      <c r="O353" s="152">
        <f>+IF(OR($Q353=Parametres!$G$2,$Q353=Parametres!$G$3),J353,D353)</f>
        <v>3192.56</v>
      </c>
      <c r="P353" s="152">
        <f>+IF(OR($Q353=Parametres!$G$2,$Q353=Parametres!$G$3),K353,E353)</f>
        <v>26811.35</v>
      </c>
      <c r="Q353" s="151" t="str">
        <f t="shared" si="25"/>
        <v>7-Dépenses</v>
      </c>
      <c r="R353" s="150" t="str">
        <f t="shared" si="25"/>
        <v>6108</v>
      </c>
      <c r="S353" s="151">
        <f t="shared" si="25"/>
        <v>0</v>
      </c>
      <c r="T353" s="153">
        <f>+VLOOKUP($L353,Data_Validation!$A:$D,1,0)</f>
        <v>6208</v>
      </c>
      <c r="U353" s="153" t="str">
        <f>+VLOOKUP($L353,Data_Validation!$A:$D,3,0)</f>
        <v>Véhicules usagés</v>
      </c>
      <c r="V353" s="153" t="str">
        <f>+VLOOKUP($L353,Data_Validation!$A:$D,4,0)</f>
        <v>Frais de livraison</v>
      </c>
      <c r="W353" s="153" t="str">
        <f>+VLOOKUP($L353,Data_Validation!$A:$E,5,0)</f>
        <v>$</v>
      </c>
      <c r="X353" s="153">
        <f>+VLOOKUP($L353,Data_Validation!$A:$F,6,0)</f>
        <v>0</v>
      </c>
    </row>
    <row r="354" spans="1:24" ht="15" customHeight="1">
      <c r="A354" s="1430" t="s">
        <v>1371</v>
      </c>
      <c r="B354" s="1433">
        <v>6214</v>
      </c>
      <c r="C354" s="1432">
        <v>59549.29</v>
      </c>
      <c r="D354" s="1432">
        <v>5821.41</v>
      </c>
      <c r="E354" s="1432">
        <v>65370.7</v>
      </c>
      <c r="F354" s="1430" t="s">
        <v>398</v>
      </c>
      <c r="G354" s="1430" t="s">
        <v>2106</v>
      </c>
      <c r="H354" s="1233"/>
      <c r="I354" s="1240"/>
      <c r="J354" s="1240"/>
      <c r="K354" s="1240"/>
      <c r="L354" s="150">
        <f t="shared" si="18"/>
        <v>6214</v>
      </c>
      <c r="M354" s="151" t="str">
        <f t="shared" si="19"/>
        <v>PUBLICITE</v>
      </c>
      <c r="N354" s="152">
        <f>+IF(OR($Q354=Parametres!$G$2,$Q354=Parametres!$G$3),I354,C354)</f>
        <v>59549.29</v>
      </c>
      <c r="O354" s="152">
        <f>+IF(OR($Q354=Parametres!$G$2,$Q354=Parametres!$G$3),J354,D354)</f>
        <v>5821.41</v>
      </c>
      <c r="P354" s="152">
        <f>+IF(OR($Q354=Parametres!$G$2,$Q354=Parametres!$G$3),K354,E354)</f>
        <v>65370.7</v>
      </c>
      <c r="Q354" s="151" t="str">
        <f t="shared" ref="Q354:S369" si="26">+F354</f>
        <v>7-Dépenses</v>
      </c>
      <c r="R354" s="150" t="str">
        <f t="shared" si="26"/>
        <v>6114</v>
      </c>
      <c r="S354" s="151">
        <f t="shared" si="26"/>
        <v>0</v>
      </c>
      <c r="T354" s="153">
        <f>+VLOOKUP($L354,Data_Validation!$A:$D,1,0)</f>
        <v>6214</v>
      </c>
      <c r="U354" s="153" t="str">
        <f>+VLOOKUP($L354,Data_Validation!$A:$D,3,0)</f>
        <v>Véhicules usagés</v>
      </c>
      <c r="V354" s="153" t="str">
        <f>+VLOOKUP($L354,Data_Validation!$A:$D,4,0)</f>
        <v>Publicité 1</v>
      </c>
      <c r="W354" s="153" t="str">
        <f>+VLOOKUP($L354,Data_Validation!$A:$E,5,0)</f>
        <v>$</v>
      </c>
      <c r="X354" s="153">
        <f>+VLOOKUP($L354,Data_Validation!$A:$F,6,0)</f>
        <v>0</v>
      </c>
    </row>
    <row r="355" spans="1:24" ht="15" customHeight="1">
      <c r="A355" s="1430" t="s">
        <v>2141</v>
      </c>
      <c r="B355" s="1433">
        <v>6215</v>
      </c>
      <c r="C355" s="1432">
        <v>-32000</v>
      </c>
      <c r="D355" s="1432">
        <v>-3300</v>
      </c>
      <c r="E355" s="1432">
        <v>-35300</v>
      </c>
      <c r="F355" s="1430" t="s">
        <v>398</v>
      </c>
      <c r="G355" s="1430" t="s">
        <v>2106</v>
      </c>
      <c r="H355" s="1233"/>
      <c r="I355" s="1240"/>
      <c r="J355" s="1240"/>
      <c r="K355" s="1240"/>
      <c r="L355" s="150">
        <f t="shared" si="18"/>
        <v>6215</v>
      </c>
      <c r="M355" s="151" t="str">
        <f t="shared" si="19"/>
        <v>CREDIT PUBLICITE USAGES</v>
      </c>
      <c r="N355" s="152">
        <f>+IF(OR($Q355=Parametres!$G$2,$Q355=Parametres!$G$3),I355,C355)</f>
        <v>-32000</v>
      </c>
      <c r="O355" s="152">
        <f>+IF(OR($Q355=Parametres!$G$2,$Q355=Parametres!$G$3),J355,D355)</f>
        <v>-3300</v>
      </c>
      <c r="P355" s="152">
        <f>+IF(OR($Q355=Parametres!$G$2,$Q355=Parametres!$G$3),K355,E355)</f>
        <v>-35300</v>
      </c>
      <c r="Q355" s="151" t="str">
        <f t="shared" si="26"/>
        <v>7-Dépenses</v>
      </c>
      <c r="R355" s="150" t="str">
        <f t="shared" si="26"/>
        <v>6114</v>
      </c>
      <c r="S355" s="151">
        <f t="shared" si="26"/>
        <v>0</v>
      </c>
      <c r="T355" s="153">
        <f>+VLOOKUP($L355,Data_Validation!$A:$D,1,0)</f>
        <v>6215</v>
      </c>
      <c r="U355" s="153" t="str">
        <f>+VLOOKUP($L355,Data_Validation!$A:$D,3,0)</f>
        <v>Véhicules usagés</v>
      </c>
      <c r="V355" s="153" t="str">
        <f>+VLOOKUP($L355,Data_Validation!$A:$D,4,0)</f>
        <v>Publicité 1</v>
      </c>
      <c r="W355" s="153" t="str">
        <f>+VLOOKUP($L355,Data_Validation!$A:$E,5,0)</f>
        <v>$</v>
      </c>
      <c r="X355" s="153">
        <f>+VLOOKUP($L355,Data_Validation!$A:$F,6,0)</f>
        <v>0</v>
      </c>
    </row>
    <row r="356" spans="1:24" ht="15" customHeight="1">
      <c r="A356" s="1430" t="s">
        <v>1256</v>
      </c>
      <c r="B356" s="1433">
        <v>6221</v>
      </c>
      <c r="C356" s="1432">
        <v>3863.27</v>
      </c>
      <c r="D356" s="1432">
        <v>1607.25</v>
      </c>
      <c r="E356" s="1432">
        <v>5470.52</v>
      </c>
      <c r="F356" s="1430" t="s">
        <v>398</v>
      </c>
      <c r="G356" s="1430" t="s">
        <v>2639</v>
      </c>
      <c r="H356" s="1233"/>
      <c r="I356" s="1240"/>
      <c r="J356" s="1240"/>
      <c r="K356" s="1240"/>
      <c r="L356" s="150">
        <f t="shared" si="18"/>
        <v>6221</v>
      </c>
      <c r="M356" s="151" t="str">
        <f t="shared" si="19"/>
        <v>SALAIRES - PROPRIETAIRES</v>
      </c>
      <c r="N356" s="152">
        <f>+IF(OR($Q356=Parametres!$G$2,$Q356=Parametres!$G$3),I356,C356)</f>
        <v>3863.27</v>
      </c>
      <c r="O356" s="152">
        <f>+IF(OR($Q356=Parametres!$G$2,$Q356=Parametres!$G$3),J356,D356)</f>
        <v>1607.25</v>
      </c>
      <c r="P356" s="152">
        <f>+IF(OR($Q356=Parametres!$G$2,$Q356=Parametres!$G$3),K356,E356)</f>
        <v>5470.52</v>
      </c>
      <c r="Q356" s="151" t="str">
        <f t="shared" si="26"/>
        <v>7-Dépenses</v>
      </c>
      <c r="R356" s="150" t="str">
        <f t="shared" si="26"/>
        <v>6121</v>
      </c>
      <c r="S356" s="151">
        <f t="shared" si="26"/>
        <v>0</v>
      </c>
      <c r="T356" s="153">
        <f>+VLOOKUP($L356,Data_Validation!$A:$D,1,0)</f>
        <v>6221</v>
      </c>
      <c r="U356" s="153" t="str">
        <f>+VLOOKUP($L356,Data_Validation!$A:$D,3,0)</f>
        <v>Véhicules usagés</v>
      </c>
      <c r="V356" s="153" t="str">
        <f>+VLOOKUP($L356,Data_Validation!$A:$D,4,0)</f>
        <v>Salaires propriétaire</v>
      </c>
      <c r="W356" s="153" t="str">
        <f>+VLOOKUP($L356,Data_Validation!$A:$E,5,0)</f>
        <v>$</v>
      </c>
      <c r="X356" s="153">
        <f>+VLOOKUP($L356,Data_Validation!$A:$F,6,0)</f>
        <v>0</v>
      </c>
    </row>
    <row r="357" spans="1:24" ht="15" customHeight="1">
      <c r="A357" s="1430" t="s">
        <v>2615</v>
      </c>
      <c r="B357" s="1433">
        <v>6222</v>
      </c>
      <c r="C357" s="1432">
        <v>89929.61</v>
      </c>
      <c r="D357" s="1432">
        <v>8452.9699999999993</v>
      </c>
      <c r="E357" s="1432">
        <v>98382.58</v>
      </c>
      <c r="F357" s="1430" t="s">
        <v>398</v>
      </c>
      <c r="G357" s="1430" t="s">
        <v>2617</v>
      </c>
      <c r="H357" s="1233"/>
      <c r="I357" s="1240"/>
      <c r="J357" s="1240"/>
      <c r="K357" s="1240"/>
      <c r="L357" s="150">
        <f t="shared" si="18"/>
        <v>6222</v>
      </c>
      <c r="M357" s="151" t="str">
        <f t="shared" si="19"/>
        <v>SAL SUPERVISION / GERANT</v>
      </c>
      <c r="N357" s="152">
        <f>+IF(OR($Q357=Parametres!$G$2,$Q357=Parametres!$G$3),I357,C357)</f>
        <v>89929.61</v>
      </c>
      <c r="O357" s="152">
        <f>+IF(OR($Q357=Parametres!$G$2,$Q357=Parametres!$G$3),J357,D357)</f>
        <v>8452.9699999999993</v>
      </c>
      <c r="P357" s="152">
        <f>+IF(OR($Q357=Parametres!$G$2,$Q357=Parametres!$G$3),K357,E357)</f>
        <v>98382.58</v>
      </c>
      <c r="Q357" s="151" t="str">
        <f t="shared" si="26"/>
        <v>7-Dépenses</v>
      </c>
      <c r="R357" s="150" t="str">
        <f t="shared" si="26"/>
        <v>6122</v>
      </c>
      <c r="S357" s="151">
        <f t="shared" si="26"/>
        <v>0</v>
      </c>
      <c r="T357" s="153">
        <f>+VLOOKUP($L357,Data_Validation!$A:$D,1,0)</f>
        <v>6222</v>
      </c>
      <c r="U357" s="153" t="str">
        <f>+VLOOKUP($L357,Data_Validation!$A:$D,3,0)</f>
        <v>Véhicules usagés</v>
      </c>
      <c r="V357" s="153" t="str">
        <f>+VLOOKUP($L357,Data_Validation!$A:$D,4,0)</f>
        <v>Salaires cadres</v>
      </c>
      <c r="W357" s="153" t="str">
        <f>+VLOOKUP($L357,Data_Validation!$A:$E,5,0)</f>
        <v>$</v>
      </c>
      <c r="X357" s="153">
        <f>+VLOOKUP($L357,Data_Validation!$A:$F,6,0)</f>
        <v>0</v>
      </c>
    </row>
    <row r="358" spans="1:24" ht="15.75" customHeight="1">
      <c r="A358" s="1430" t="s">
        <v>1339</v>
      </c>
      <c r="B358" s="1433">
        <v>6223</v>
      </c>
      <c r="C358" s="1432">
        <v>18176.39</v>
      </c>
      <c r="D358" s="1432">
        <v>2042.07</v>
      </c>
      <c r="E358" s="1432">
        <v>20218.46</v>
      </c>
      <c r="F358" s="1430" t="s">
        <v>398</v>
      </c>
      <c r="G358" s="1430" t="s">
        <v>2670</v>
      </c>
      <c r="H358" s="1233"/>
      <c r="I358" s="1240"/>
      <c r="J358" s="1240"/>
      <c r="K358" s="1240"/>
      <c r="L358" s="150">
        <f t="shared" si="18"/>
        <v>6223</v>
      </c>
      <c r="M358" s="151" t="str">
        <f t="shared" si="19"/>
        <v>SAL. &amp; RENUM. - CLERICAL</v>
      </c>
      <c r="N358" s="152">
        <f>+IF(OR($Q358=Parametres!$G$2,$Q358=Parametres!$G$3),I358,C358)</f>
        <v>18176.39</v>
      </c>
      <c r="O358" s="152">
        <f>+IF(OR($Q358=Parametres!$G$2,$Q358=Parametres!$G$3),J358,D358)</f>
        <v>2042.07</v>
      </c>
      <c r="P358" s="152">
        <f>+IF(OR($Q358=Parametres!$G$2,$Q358=Parametres!$G$3),K358,E358)</f>
        <v>20218.46</v>
      </c>
      <c r="Q358" s="151" t="str">
        <f t="shared" si="26"/>
        <v>7-Dépenses</v>
      </c>
      <c r="R358" s="150" t="str">
        <f t="shared" si="26"/>
        <v>6123</v>
      </c>
      <c r="S358" s="151">
        <f t="shared" si="26"/>
        <v>0</v>
      </c>
      <c r="T358" s="153">
        <f>+VLOOKUP($L358,Data_Validation!$A:$D,1,0)</f>
        <v>6223</v>
      </c>
      <c r="U358" s="153" t="str">
        <f>+VLOOKUP($L358,Data_Validation!$A:$D,3,0)</f>
        <v>Véhicules usagés</v>
      </c>
      <c r="V358" s="153" t="str">
        <f>+VLOOKUP($L358,Data_Validation!$A:$D,4,0)</f>
        <v>Salaires commis</v>
      </c>
      <c r="W358" s="153" t="str">
        <f>+VLOOKUP($L358,Data_Validation!$A:$E,5,0)</f>
        <v>$</v>
      </c>
      <c r="X358" s="153">
        <f>+VLOOKUP($L358,Data_Validation!$A:$F,6,0)</f>
        <v>0</v>
      </c>
    </row>
    <row r="359" spans="1:24" ht="15" customHeight="1">
      <c r="A359" s="1430" t="s">
        <v>1409</v>
      </c>
      <c r="B359" s="1433">
        <v>6224</v>
      </c>
      <c r="C359" s="1432">
        <v>66764.759999999995</v>
      </c>
      <c r="D359" s="1432">
        <v>8432.2199999999993</v>
      </c>
      <c r="E359" s="1432">
        <v>75196.98</v>
      </c>
      <c r="F359" s="1430" t="s">
        <v>398</v>
      </c>
      <c r="G359" s="1430" t="s">
        <v>2726</v>
      </c>
      <c r="H359" s="1233"/>
      <c r="I359" s="1240"/>
      <c r="J359" s="1240"/>
      <c r="K359" s="1240"/>
      <c r="L359" s="150">
        <f t="shared" si="18"/>
        <v>6224</v>
      </c>
      <c r="M359" s="151" t="str">
        <f t="shared" si="19"/>
        <v>SALAIRE &amp; RENUM. - AUTRES</v>
      </c>
      <c r="N359" s="152">
        <f>+IF(OR($Q359=Parametres!$G$2,$Q359=Parametres!$G$3),I359,C359)</f>
        <v>66764.759999999995</v>
      </c>
      <c r="O359" s="152">
        <f>+IF(OR($Q359=Parametres!$G$2,$Q359=Parametres!$G$3),J359,D359)</f>
        <v>8432.2199999999993</v>
      </c>
      <c r="P359" s="152">
        <f>+IF(OR($Q359=Parametres!$G$2,$Q359=Parametres!$G$3),K359,E359)</f>
        <v>75196.98</v>
      </c>
      <c r="Q359" s="151" t="str">
        <f t="shared" si="26"/>
        <v>7-Dépenses</v>
      </c>
      <c r="R359" s="150" t="str">
        <f t="shared" si="26"/>
        <v>6124</v>
      </c>
      <c r="S359" s="151">
        <f t="shared" si="26"/>
        <v>0</v>
      </c>
      <c r="T359" s="153">
        <f>+VLOOKUP($L359,Data_Validation!$A:$D,1,0)</f>
        <v>6224</v>
      </c>
      <c r="U359" s="153" t="str">
        <f>+VLOOKUP($L359,Data_Validation!$A:$D,3,0)</f>
        <v>Véhicules usagés</v>
      </c>
      <c r="V359" s="153" t="str">
        <f>+VLOOKUP($L359,Data_Validation!$A:$D,4,0)</f>
        <v>Salaires autres</v>
      </c>
      <c r="W359" s="153" t="str">
        <f>+VLOOKUP($L359,Data_Validation!$A:$E,5,0)</f>
        <v>$</v>
      </c>
      <c r="X359" s="153">
        <f>+VLOOKUP($L359,Data_Validation!$A:$F,6,0)</f>
        <v>0</v>
      </c>
    </row>
    <row r="360" spans="1:24" ht="15" customHeight="1">
      <c r="A360" s="1430" t="s">
        <v>1208</v>
      </c>
      <c r="B360" s="1433">
        <v>6229</v>
      </c>
      <c r="C360" s="1432">
        <v>32182.81</v>
      </c>
      <c r="D360" s="1432">
        <v>2470.8000000000002</v>
      </c>
      <c r="E360" s="1432">
        <v>34653.61</v>
      </c>
      <c r="F360" s="1430" t="s">
        <v>398</v>
      </c>
      <c r="G360" s="1430" t="s">
        <v>2632</v>
      </c>
      <c r="H360" s="1233"/>
      <c r="I360" s="1240"/>
      <c r="J360" s="1240"/>
      <c r="K360" s="1240"/>
      <c r="L360" s="150">
        <f t="shared" si="18"/>
        <v>6229</v>
      </c>
      <c r="M360" s="151" t="str">
        <f t="shared" si="19"/>
        <v>ABS.,VACANCES &amp; SAL. JOURS FER</v>
      </c>
      <c r="N360" s="152">
        <f>+IF(OR($Q360=Parametres!$G$2,$Q360=Parametres!$G$3),I360,C360)</f>
        <v>32182.81</v>
      </c>
      <c r="O360" s="152">
        <f>+IF(OR($Q360=Parametres!$G$2,$Q360=Parametres!$G$3),J360,D360)</f>
        <v>2470.8000000000002</v>
      </c>
      <c r="P360" s="152">
        <f>+IF(OR($Q360=Parametres!$G$2,$Q360=Parametres!$G$3),K360,E360)</f>
        <v>34653.61</v>
      </c>
      <c r="Q360" s="151" t="str">
        <f t="shared" si="26"/>
        <v>7-Dépenses</v>
      </c>
      <c r="R360" s="150" t="str">
        <f t="shared" si="26"/>
        <v>6129</v>
      </c>
      <c r="S360" s="151">
        <f t="shared" si="26"/>
        <v>0</v>
      </c>
      <c r="T360" s="153">
        <f>+VLOOKUP($L360,Data_Validation!$A:$D,1,0)</f>
        <v>6229</v>
      </c>
      <c r="U360" s="153" t="str">
        <f>+VLOOKUP($L360,Data_Validation!$A:$D,3,0)</f>
        <v>Véhicules usagés</v>
      </c>
      <c r="V360" s="153" t="str">
        <f>+VLOOKUP($L360,Data_Validation!$A:$D,4,0)</f>
        <v>Salaires en absences</v>
      </c>
      <c r="W360" s="153" t="str">
        <f>+VLOOKUP($L360,Data_Validation!$A:$E,5,0)</f>
        <v>$</v>
      </c>
      <c r="X360" s="153">
        <f>+VLOOKUP($L360,Data_Validation!$A:$F,6,0)</f>
        <v>0</v>
      </c>
    </row>
    <row r="361" spans="1:24" ht="15" customHeight="1">
      <c r="A361" s="1430" t="s">
        <v>1249</v>
      </c>
      <c r="B361" s="1433">
        <v>6231</v>
      </c>
      <c r="C361" s="1432">
        <v>8936.85</v>
      </c>
      <c r="D361" s="1432">
        <v>951.74</v>
      </c>
      <c r="E361" s="1432">
        <v>9888.59</v>
      </c>
      <c r="F361" s="1430" t="s">
        <v>398</v>
      </c>
      <c r="G361" s="1430" t="s">
        <v>2577</v>
      </c>
      <c r="H361" s="1233"/>
      <c r="I361" s="1240"/>
      <c r="J361" s="1240"/>
      <c r="K361" s="1240"/>
      <c r="L361" s="150">
        <f t="shared" si="18"/>
        <v>6231</v>
      </c>
      <c r="M361" s="151" t="str">
        <f t="shared" si="19"/>
        <v>CSST</v>
      </c>
      <c r="N361" s="152">
        <f>+IF(OR($Q361=Parametres!$G$2,$Q361=Parametres!$G$3),I361,C361)</f>
        <v>8936.85</v>
      </c>
      <c r="O361" s="152">
        <f>+IF(OR($Q361=Parametres!$G$2,$Q361=Parametres!$G$3),J361,D361)</f>
        <v>951.74</v>
      </c>
      <c r="P361" s="152">
        <f>+IF(OR($Q361=Parametres!$G$2,$Q361=Parametres!$G$3),K361,E361)</f>
        <v>9888.59</v>
      </c>
      <c r="Q361" s="151" t="str">
        <f t="shared" si="26"/>
        <v>7-Dépenses</v>
      </c>
      <c r="R361" s="150" t="str">
        <f t="shared" si="26"/>
        <v>6131</v>
      </c>
      <c r="S361" s="151">
        <f t="shared" si="26"/>
        <v>0</v>
      </c>
      <c r="T361" s="153">
        <f>+VLOOKUP($L361,Data_Validation!$A:$D,1,0)</f>
        <v>6231</v>
      </c>
      <c r="U361" s="153" t="str">
        <f>+VLOOKUP($L361,Data_Validation!$A:$D,3,0)</f>
        <v>Véhicules usagés</v>
      </c>
      <c r="V361" s="153" t="str">
        <f>+VLOOKUP($L361,Data_Validation!$A:$D,4,0)</f>
        <v>Csst</v>
      </c>
      <c r="W361" s="153" t="str">
        <f>+VLOOKUP($L361,Data_Validation!$A:$E,5,0)</f>
        <v>$</v>
      </c>
      <c r="X361" s="153">
        <f>+VLOOKUP($L361,Data_Validation!$A:$F,6,0)</f>
        <v>0</v>
      </c>
    </row>
    <row r="362" spans="1:24" ht="15.75" customHeight="1">
      <c r="A362" s="1430" t="s">
        <v>1280</v>
      </c>
      <c r="B362" s="1433">
        <v>6232</v>
      </c>
      <c r="C362" s="1432">
        <v>53621.13</v>
      </c>
      <c r="D362" s="1432">
        <v>5710.42</v>
      </c>
      <c r="E362" s="1432">
        <v>59331.55</v>
      </c>
      <c r="F362" s="1430" t="s">
        <v>398</v>
      </c>
      <c r="G362" s="1430" t="s">
        <v>2676</v>
      </c>
      <c r="H362" s="1233"/>
      <c r="I362" s="1240"/>
      <c r="J362" s="1240"/>
      <c r="K362" s="1240"/>
      <c r="L362" s="150">
        <f t="shared" si="18"/>
        <v>6232</v>
      </c>
      <c r="M362" s="151" t="str">
        <f t="shared" si="19"/>
        <v>RRQ RAMQ AC</v>
      </c>
      <c r="N362" s="152">
        <f>+IF(OR($Q362=Parametres!$G$2,$Q362=Parametres!$G$3),I362,C362)</f>
        <v>53621.13</v>
      </c>
      <c r="O362" s="152">
        <f>+IF(OR($Q362=Parametres!$G$2,$Q362=Parametres!$G$3),J362,D362)</f>
        <v>5710.42</v>
      </c>
      <c r="P362" s="152">
        <f>+IF(OR($Q362=Parametres!$G$2,$Q362=Parametres!$G$3),K362,E362)</f>
        <v>59331.55</v>
      </c>
      <c r="Q362" s="151" t="str">
        <f t="shared" si="26"/>
        <v>7-Dépenses</v>
      </c>
      <c r="R362" s="150" t="str">
        <f t="shared" si="26"/>
        <v>6132</v>
      </c>
      <c r="S362" s="151">
        <f t="shared" si="26"/>
        <v>0</v>
      </c>
      <c r="T362" s="153">
        <f>+VLOOKUP($L362,Data_Validation!$A:$D,1,0)</f>
        <v>6232</v>
      </c>
      <c r="U362" s="153" t="str">
        <f>+VLOOKUP($L362,Data_Validation!$A:$D,3,0)</f>
        <v>Véhicules usagés</v>
      </c>
      <c r="V362" s="153" t="str">
        <f>+VLOOKUP($L362,Data_Validation!$A:$D,4,0)</f>
        <v>Déduction à la source</v>
      </c>
      <c r="W362" s="153" t="str">
        <f>+VLOOKUP($L362,Data_Validation!$A:$E,5,0)</f>
        <v>$</v>
      </c>
      <c r="X362" s="153">
        <f>+VLOOKUP($L362,Data_Validation!$A:$F,6,0)</f>
        <v>0</v>
      </c>
    </row>
    <row r="363" spans="1:24" ht="15.75" customHeight="1">
      <c r="A363" s="1430" t="s">
        <v>1302</v>
      </c>
      <c r="B363" s="1433">
        <v>6239</v>
      </c>
      <c r="C363" s="1432">
        <v>38428.47</v>
      </c>
      <c r="D363" s="1432">
        <v>4092.47</v>
      </c>
      <c r="E363" s="1432">
        <v>42520.94</v>
      </c>
      <c r="F363" s="1430" t="s">
        <v>398</v>
      </c>
      <c r="G363" s="1430" t="s">
        <v>2685</v>
      </c>
      <c r="H363" s="1233"/>
      <c r="I363" s="1240"/>
      <c r="J363" s="1240"/>
      <c r="K363" s="1240"/>
      <c r="L363" s="150">
        <f t="shared" si="18"/>
        <v>6239</v>
      </c>
      <c r="M363" s="151" t="str">
        <f t="shared" si="19"/>
        <v>ASSURANCE GROUPE</v>
      </c>
      <c r="N363" s="152">
        <f>+IF(OR($Q363=Parametres!$G$2,$Q363=Parametres!$G$3),I363,C363)</f>
        <v>38428.47</v>
      </c>
      <c r="O363" s="152">
        <f>+IF(OR($Q363=Parametres!$G$2,$Q363=Parametres!$G$3),J363,D363)</f>
        <v>4092.47</v>
      </c>
      <c r="P363" s="152">
        <f>+IF(OR($Q363=Parametres!$G$2,$Q363=Parametres!$G$3),K363,E363)</f>
        <v>42520.94</v>
      </c>
      <c r="Q363" s="151" t="str">
        <f t="shared" si="26"/>
        <v>7-Dépenses</v>
      </c>
      <c r="R363" s="150" t="str">
        <f t="shared" si="26"/>
        <v>6139</v>
      </c>
      <c r="S363" s="151">
        <f t="shared" si="26"/>
        <v>0</v>
      </c>
      <c r="T363" s="153">
        <f>+VLOOKUP($L363,Data_Validation!$A:$D,1,0)</f>
        <v>6239</v>
      </c>
      <c r="U363" s="153" t="str">
        <f>+VLOOKUP($L363,Data_Validation!$A:$D,3,0)</f>
        <v>Véhicules usagés</v>
      </c>
      <c r="V363" s="153" t="str">
        <f>+VLOOKUP($L363,Data_Validation!$A:$D,4,0)</f>
        <v>Bénéfices marginaux</v>
      </c>
      <c r="W363" s="153" t="str">
        <f>+VLOOKUP($L363,Data_Validation!$A:$E,5,0)</f>
        <v>$</v>
      </c>
      <c r="X363" s="153">
        <f>+VLOOKUP($L363,Data_Validation!$A:$F,6,0)</f>
        <v>0</v>
      </c>
    </row>
    <row r="364" spans="1:24" ht="15" customHeight="1">
      <c r="A364" s="1430" t="s">
        <v>1154</v>
      </c>
      <c r="B364" s="1433">
        <v>6242</v>
      </c>
      <c r="C364" s="1432">
        <v>571.16999999999996</v>
      </c>
      <c r="D364" s="1432">
        <v>-8.27</v>
      </c>
      <c r="E364" s="1432">
        <v>562.9</v>
      </c>
      <c r="F364" s="1430" t="s">
        <v>398</v>
      </c>
      <c r="G364" s="1430" t="s">
        <v>2554</v>
      </c>
      <c r="H364" s="1233"/>
      <c r="I364" s="1240"/>
      <c r="J364" s="1240"/>
      <c r="K364" s="1240"/>
      <c r="L364" s="150">
        <f t="shared" si="18"/>
        <v>6242</v>
      </c>
      <c r="M364" s="151" t="str">
        <f t="shared" si="19"/>
        <v>FOURNITURES &amp; PETITS OUTILS</v>
      </c>
      <c r="N364" s="152">
        <f>+IF(OR($Q364=Parametres!$G$2,$Q364=Parametres!$G$3),I364,C364)</f>
        <v>571.16999999999996</v>
      </c>
      <c r="O364" s="152">
        <f>+IF(OR($Q364=Parametres!$G$2,$Q364=Parametres!$G$3),J364,D364)</f>
        <v>-8.27</v>
      </c>
      <c r="P364" s="152">
        <f>+IF(OR($Q364=Parametres!$G$2,$Q364=Parametres!$G$3),K364,E364)</f>
        <v>562.9</v>
      </c>
      <c r="Q364" s="151" t="str">
        <f t="shared" si="26"/>
        <v>7-Dépenses</v>
      </c>
      <c r="R364" s="150" t="str">
        <f t="shared" si="26"/>
        <v>6142</v>
      </c>
      <c r="S364" s="151">
        <f t="shared" si="26"/>
        <v>0</v>
      </c>
      <c r="T364" s="153">
        <f>+VLOOKUP($L364,Data_Validation!$A:$D,1,0)</f>
        <v>6242</v>
      </c>
      <c r="U364" s="153" t="str">
        <f>+VLOOKUP($L364,Data_Validation!$A:$D,3,0)</f>
        <v>Véhicules usagés</v>
      </c>
      <c r="V364" s="153" t="str">
        <f>+VLOOKUP($L364,Data_Validation!$A:$D,4,0)</f>
        <v>Fournitures autres</v>
      </c>
      <c r="W364" s="153" t="str">
        <f>+VLOOKUP($L364,Data_Validation!$A:$E,5,0)</f>
        <v>$</v>
      </c>
      <c r="X364" s="153">
        <f>+VLOOKUP($L364,Data_Validation!$A:$F,6,0)</f>
        <v>0</v>
      </c>
    </row>
    <row r="365" spans="1:24" ht="15" customHeight="1">
      <c r="A365" s="1430" t="s">
        <v>931</v>
      </c>
      <c r="B365" s="1433">
        <v>6244</v>
      </c>
      <c r="C365" s="1432">
        <v>695.58</v>
      </c>
      <c r="D365" s="1432">
        <v>10.62</v>
      </c>
      <c r="E365" s="1432">
        <v>706.2</v>
      </c>
      <c r="F365" s="1430" t="s">
        <v>398</v>
      </c>
      <c r="G365" s="1430" t="s">
        <v>2552</v>
      </c>
      <c r="H365" s="1233"/>
      <c r="I365" s="1240"/>
      <c r="J365" s="1240"/>
      <c r="K365" s="1240"/>
      <c r="L365" s="150">
        <f t="shared" si="18"/>
        <v>6244</v>
      </c>
      <c r="M365" s="151" t="str">
        <f t="shared" si="19"/>
        <v>FORMATION</v>
      </c>
      <c r="N365" s="152">
        <f>+IF(OR($Q365=Parametres!$G$2,$Q365=Parametres!$G$3),I365,C365)</f>
        <v>695.58</v>
      </c>
      <c r="O365" s="152">
        <f>+IF(OR($Q365=Parametres!$G$2,$Q365=Parametres!$G$3),J365,D365)</f>
        <v>10.62</v>
      </c>
      <c r="P365" s="152">
        <f>+IF(OR($Q365=Parametres!$G$2,$Q365=Parametres!$G$3),K365,E365)</f>
        <v>706.2</v>
      </c>
      <c r="Q365" s="151" t="str">
        <f t="shared" si="26"/>
        <v>7-Dépenses</v>
      </c>
      <c r="R365" s="150" t="str">
        <f t="shared" si="26"/>
        <v>6144</v>
      </c>
      <c r="S365" s="151">
        <f t="shared" si="26"/>
        <v>0</v>
      </c>
      <c r="T365" s="153">
        <f>+VLOOKUP($L365,Data_Validation!$A:$D,1,0)</f>
        <v>6244</v>
      </c>
      <c r="U365" s="153" t="str">
        <f>+VLOOKUP($L365,Data_Validation!$A:$D,3,0)</f>
        <v>Véhicules usagés</v>
      </c>
      <c r="V365" s="153" t="str">
        <f>+VLOOKUP($L365,Data_Validation!$A:$D,4,0)</f>
        <v>Formation</v>
      </c>
      <c r="W365" s="153" t="str">
        <f>+VLOOKUP($L365,Data_Validation!$A:$E,5,0)</f>
        <v>$</v>
      </c>
      <c r="X365" s="153">
        <f>+VLOOKUP($L365,Data_Validation!$A:$F,6,0)</f>
        <v>0</v>
      </c>
    </row>
    <row r="366" spans="1:24" ht="15" customHeight="1">
      <c r="A366" s="1430" t="s">
        <v>1183</v>
      </c>
      <c r="B366" s="1433">
        <v>6245</v>
      </c>
      <c r="C366" s="1432">
        <v>-3059.13</v>
      </c>
      <c r="D366" s="1432">
        <v>-370.82</v>
      </c>
      <c r="E366" s="1432">
        <v>-3429.95</v>
      </c>
      <c r="F366" s="1430" t="s">
        <v>398</v>
      </c>
      <c r="G366" s="1430" t="s">
        <v>2623</v>
      </c>
      <c r="H366" s="1233"/>
      <c r="I366" s="1240"/>
      <c r="J366" s="1240"/>
      <c r="K366" s="1240"/>
      <c r="L366" s="150">
        <f t="shared" si="18"/>
        <v>6245</v>
      </c>
      <c r="M366" s="151" t="str">
        <f t="shared" si="19"/>
        <v>VEHICULE DE COMPAGNIE - DEPENS</v>
      </c>
      <c r="N366" s="152">
        <f>+IF(OR($Q366=Parametres!$G$2,$Q366=Parametres!$G$3),I366,C366)</f>
        <v>-3059.13</v>
      </c>
      <c r="O366" s="152">
        <f>+IF(OR($Q366=Parametres!$G$2,$Q366=Parametres!$G$3),J366,D366)</f>
        <v>-370.82</v>
      </c>
      <c r="P366" s="152">
        <f>+IF(OR($Q366=Parametres!$G$2,$Q366=Parametres!$G$3),K366,E366)</f>
        <v>-3429.95</v>
      </c>
      <c r="Q366" s="151" t="str">
        <f t="shared" si="26"/>
        <v>7-Dépenses</v>
      </c>
      <c r="R366" s="150" t="str">
        <f t="shared" si="26"/>
        <v>6145</v>
      </c>
      <c r="S366" s="151">
        <f t="shared" si="26"/>
        <v>0</v>
      </c>
      <c r="T366" s="153">
        <f>+VLOOKUP($L366,Data_Validation!$A:$D,1,0)</f>
        <v>6245</v>
      </c>
      <c r="U366" s="153" t="str">
        <f>+VLOOKUP($L366,Data_Validation!$A:$D,3,0)</f>
        <v>Véhicules usagés</v>
      </c>
      <c r="V366" s="153" t="str">
        <f>+VLOOKUP($L366,Data_Validation!$A:$D,4,0)</f>
        <v>Frais véhicules de cie</v>
      </c>
      <c r="W366" s="153" t="str">
        <f>+VLOOKUP($L366,Data_Validation!$A:$E,5,0)</f>
        <v>$</v>
      </c>
      <c r="X366" s="153">
        <f>+VLOOKUP($L366,Data_Validation!$A:$F,6,0)</f>
        <v>0</v>
      </c>
    </row>
    <row r="367" spans="1:24" ht="15" customHeight="1">
      <c r="A367" s="1430" t="s">
        <v>1177</v>
      </c>
      <c r="B367" s="1433">
        <v>6247</v>
      </c>
      <c r="C367" s="1432">
        <v>642.71</v>
      </c>
      <c r="D367" s="1432">
        <v>143.5</v>
      </c>
      <c r="E367" s="1432">
        <v>786.21</v>
      </c>
      <c r="F367" s="1430" t="s">
        <v>398</v>
      </c>
      <c r="G367" s="1430" t="s">
        <v>2572</v>
      </c>
      <c r="H367" s="1233"/>
      <c r="I367" s="1240"/>
      <c r="J367" s="1240"/>
      <c r="K367" s="1240"/>
      <c r="L367" s="150">
        <f t="shared" si="18"/>
        <v>6247</v>
      </c>
      <c r="M367" s="151" t="str">
        <f t="shared" si="19"/>
        <v>FRET/EXPRESS/TRANS. PAR CAMION</v>
      </c>
      <c r="N367" s="152">
        <f>+IF(OR($Q367=Parametres!$G$2,$Q367=Parametres!$G$3),I367,C367)</f>
        <v>642.71</v>
      </c>
      <c r="O367" s="152">
        <f>+IF(OR($Q367=Parametres!$G$2,$Q367=Parametres!$G$3),J367,D367)</f>
        <v>143.5</v>
      </c>
      <c r="P367" s="152">
        <f>+IF(OR($Q367=Parametres!$G$2,$Q367=Parametres!$G$3),K367,E367)</f>
        <v>786.21</v>
      </c>
      <c r="Q367" s="151" t="str">
        <f t="shared" si="26"/>
        <v>7-Dépenses</v>
      </c>
      <c r="R367" s="150" t="str">
        <f t="shared" si="26"/>
        <v>6147</v>
      </c>
      <c r="S367" s="151">
        <f t="shared" si="26"/>
        <v>0</v>
      </c>
      <c r="T367" s="153">
        <f>+VLOOKUP($L367,Data_Validation!$A:$D,1,0)</f>
        <v>6247</v>
      </c>
      <c r="U367" s="153" t="str">
        <f>+VLOOKUP($L367,Data_Validation!$A:$D,3,0)</f>
        <v>Véhicules usagés</v>
      </c>
      <c r="V367" s="153" t="str">
        <f>+VLOOKUP($L367,Data_Validation!$A:$D,4,0)</f>
        <v>Frais postaux</v>
      </c>
      <c r="W367" s="153" t="str">
        <f>+VLOOKUP($L367,Data_Validation!$A:$E,5,0)</f>
        <v>$</v>
      </c>
      <c r="X367" s="153">
        <f>+VLOOKUP($L367,Data_Validation!$A:$F,6,0)</f>
        <v>0</v>
      </c>
    </row>
    <row r="368" spans="1:24" ht="15" customHeight="1">
      <c r="A368" s="1430" t="s">
        <v>1283</v>
      </c>
      <c r="B368" s="1433">
        <v>6251</v>
      </c>
      <c r="C368" s="1432">
        <v>16699.98</v>
      </c>
      <c r="D368" s="1432">
        <v>1682.22</v>
      </c>
      <c r="E368" s="1432">
        <v>18382.2</v>
      </c>
      <c r="F368" s="1430" t="s">
        <v>398</v>
      </c>
      <c r="G368" s="1430" t="s">
        <v>2693</v>
      </c>
      <c r="H368" s="1233"/>
      <c r="I368" s="1240"/>
      <c r="J368" s="1240"/>
      <c r="K368" s="1240"/>
      <c r="L368" s="150">
        <f t="shared" si="18"/>
        <v>6251</v>
      </c>
      <c r="M368" s="151" t="str">
        <f t="shared" si="19"/>
        <v>DEP. DU TRAITEMENT DES DONNEES</v>
      </c>
      <c r="N368" s="152">
        <f>+IF(OR($Q368=Parametres!$G$2,$Q368=Parametres!$G$3),I368,C368)</f>
        <v>16699.98</v>
      </c>
      <c r="O368" s="152">
        <f>+IF(OR($Q368=Parametres!$G$2,$Q368=Parametres!$G$3),J368,D368)</f>
        <v>1682.22</v>
      </c>
      <c r="P368" s="152">
        <f>+IF(OR($Q368=Parametres!$G$2,$Q368=Parametres!$G$3),K368,E368)</f>
        <v>18382.2</v>
      </c>
      <c r="Q368" s="151" t="str">
        <f t="shared" si="26"/>
        <v>7-Dépenses</v>
      </c>
      <c r="R368" s="150" t="str">
        <f t="shared" si="26"/>
        <v>6151</v>
      </c>
      <c r="S368" s="151">
        <f t="shared" si="26"/>
        <v>0</v>
      </c>
      <c r="T368" s="153">
        <f>+VLOOKUP($L368,Data_Validation!$A:$D,1,0)</f>
        <v>6251</v>
      </c>
      <c r="U368" s="153" t="str">
        <f>+VLOOKUP($L368,Data_Validation!$A:$D,3,0)</f>
        <v>Véhicules usagés</v>
      </c>
      <c r="V368" s="153" t="str">
        <f>+VLOOKUP($L368,Data_Validation!$A:$D,4,0)</f>
        <v>Informatique</v>
      </c>
      <c r="W368" s="153" t="str">
        <f>+VLOOKUP($L368,Data_Validation!$A:$E,5,0)</f>
        <v>$</v>
      </c>
      <c r="X368" s="153">
        <f>+VLOOKUP($L368,Data_Validation!$A:$F,6,0)</f>
        <v>0</v>
      </c>
    </row>
    <row r="369" spans="1:24" ht="15.75" customHeight="1">
      <c r="A369" s="1430" t="s">
        <v>1203</v>
      </c>
      <c r="B369" s="1433">
        <v>6252</v>
      </c>
      <c r="C369" s="1432">
        <v>2059.89</v>
      </c>
      <c r="D369" s="1432">
        <v>308.2</v>
      </c>
      <c r="E369" s="1432">
        <v>2368.09</v>
      </c>
      <c r="F369" s="1430" t="s">
        <v>398</v>
      </c>
      <c r="G369" s="1430" t="s">
        <v>2579</v>
      </c>
      <c r="H369" s="1233"/>
      <c r="I369" s="1240"/>
      <c r="J369" s="1240"/>
      <c r="K369" s="1240"/>
      <c r="L369" s="150">
        <f t="shared" si="18"/>
        <v>6252</v>
      </c>
      <c r="M369" s="151" t="str">
        <f t="shared" si="19"/>
        <v>PAPETERIE</v>
      </c>
      <c r="N369" s="152">
        <f>+IF(OR($Q369=Parametres!$G$2,$Q369=Parametres!$G$3),I369,C369)</f>
        <v>2059.89</v>
      </c>
      <c r="O369" s="152">
        <f>+IF(OR($Q369=Parametres!$G$2,$Q369=Parametres!$G$3),J369,D369)</f>
        <v>308.2</v>
      </c>
      <c r="P369" s="152">
        <f>+IF(OR($Q369=Parametres!$G$2,$Q369=Parametres!$G$3),K369,E369)</f>
        <v>2368.09</v>
      </c>
      <c r="Q369" s="151" t="str">
        <f t="shared" si="26"/>
        <v>7-Dépenses</v>
      </c>
      <c r="R369" s="150" t="str">
        <f t="shared" si="26"/>
        <v>6152</v>
      </c>
      <c r="S369" s="151">
        <f t="shared" si="26"/>
        <v>0</v>
      </c>
      <c r="T369" s="153">
        <f>+VLOOKUP($L369,Data_Validation!$A:$D,1,0)</f>
        <v>6252</v>
      </c>
      <c r="U369" s="153" t="str">
        <f>+VLOOKUP($L369,Data_Validation!$A:$D,3,0)</f>
        <v>Véhicules usagés</v>
      </c>
      <c r="V369" s="153" t="str">
        <f>+VLOOKUP($L369,Data_Validation!$A:$D,4,0)</f>
        <v>Papeterie</v>
      </c>
      <c r="W369" s="153" t="str">
        <f>+VLOOKUP($L369,Data_Validation!$A:$E,5,0)</f>
        <v>$</v>
      </c>
      <c r="X369" s="153">
        <f>+VLOOKUP($L369,Data_Validation!$A:$F,6,0)</f>
        <v>0</v>
      </c>
    </row>
    <row r="370" spans="1:24" ht="15" customHeight="1">
      <c r="A370" s="1430" t="s">
        <v>1151</v>
      </c>
      <c r="B370" s="1433">
        <v>6253</v>
      </c>
      <c r="C370" s="1432">
        <v>694.29</v>
      </c>
      <c r="D370" s="1432">
        <v>37.659999999999997</v>
      </c>
      <c r="E370" s="1432">
        <v>731.95</v>
      </c>
      <c r="F370" s="1430" t="s">
        <v>398</v>
      </c>
      <c r="G370" s="1430" t="s">
        <v>2583</v>
      </c>
      <c r="H370" s="1233"/>
      <c r="I370" s="1240"/>
      <c r="J370" s="1240"/>
      <c r="K370" s="1240"/>
      <c r="L370" s="150">
        <f t="shared" si="18"/>
        <v>6253</v>
      </c>
      <c r="M370" s="151" t="str">
        <f t="shared" si="19"/>
        <v>TELEPHONE ET TELEX</v>
      </c>
      <c r="N370" s="152">
        <f>+IF(OR($Q370=Parametres!$G$2,$Q370=Parametres!$G$3),I370,C370)</f>
        <v>694.29</v>
      </c>
      <c r="O370" s="152">
        <f>+IF(OR($Q370=Parametres!$G$2,$Q370=Parametres!$G$3),J370,D370)</f>
        <v>37.659999999999997</v>
      </c>
      <c r="P370" s="152">
        <f>+IF(OR($Q370=Parametres!$G$2,$Q370=Parametres!$G$3),K370,E370)</f>
        <v>731.95</v>
      </c>
      <c r="Q370" s="151" t="str">
        <f t="shared" ref="Q370:S385" si="27">+F370</f>
        <v>7-Dépenses</v>
      </c>
      <c r="R370" s="150" t="str">
        <f t="shared" si="27"/>
        <v>6153</v>
      </c>
      <c r="S370" s="151">
        <f t="shared" si="27"/>
        <v>0</v>
      </c>
      <c r="T370" s="153">
        <f>+VLOOKUP($L370,Data_Validation!$A:$D,1,0)</f>
        <v>6253</v>
      </c>
      <c r="U370" s="153" t="str">
        <f>+VLOOKUP($L370,Data_Validation!$A:$D,3,0)</f>
        <v>Véhicules usagés</v>
      </c>
      <c r="V370" s="153" t="str">
        <f>+VLOOKUP($L370,Data_Validation!$A:$D,4,0)</f>
        <v>Téléphone</v>
      </c>
      <c r="W370" s="153" t="str">
        <f>+VLOOKUP($L370,Data_Validation!$A:$E,5,0)</f>
        <v>$</v>
      </c>
      <c r="X370" s="153">
        <f>+VLOOKUP($L370,Data_Validation!$A:$F,6,0)</f>
        <v>0</v>
      </c>
    </row>
    <row r="371" spans="1:24" ht="15" customHeight="1">
      <c r="A371" s="1430" t="s">
        <v>1234</v>
      </c>
      <c r="B371" s="1433">
        <v>6255</v>
      </c>
      <c r="C371" s="1432">
        <v>2257.0300000000002</v>
      </c>
      <c r="D371" s="1432">
        <v>509.21</v>
      </c>
      <c r="E371" s="1432">
        <v>2766.24</v>
      </c>
      <c r="F371" s="1430" t="s">
        <v>398</v>
      </c>
      <c r="G371" s="1430" t="s">
        <v>2628</v>
      </c>
      <c r="H371" s="1233"/>
      <c r="I371" s="1240"/>
      <c r="J371" s="1240"/>
      <c r="K371" s="1240"/>
      <c r="L371" s="150">
        <f t="shared" si="18"/>
        <v>6255</v>
      </c>
      <c r="M371" s="151" t="str">
        <f t="shared" si="19"/>
        <v>DEPENSES DIVERS</v>
      </c>
      <c r="N371" s="152">
        <f>+IF(OR($Q371=Parametres!$G$2,$Q371=Parametres!$G$3),I371,C371)</f>
        <v>2257.0300000000002</v>
      </c>
      <c r="O371" s="152">
        <f>+IF(OR($Q371=Parametres!$G$2,$Q371=Parametres!$G$3),J371,D371)</f>
        <v>509.21</v>
      </c>
      <c r="P371" s="152">
        <f>+IF(OR($Q371=Parametres!$G$2,$Q371=Parametres!$G$3),K371,E371)</f>
        <v>2766.24</v>
      </c>
      <c r="Q371" s="151" t="str">
        <f t="shared" si="27"/>
        <v>7-Dépenses</v>
      </c>
      <c r="R371" s="150" t="str">
        <f t="shared" si="27"/>
        <v>6155</v>
      </c>
      <c r="S371" s="151">
        <f t="shared" si="27"/>
        <v>0</v>
      </c>
      <c r="T371" s="153">
        <f>+VLOOKUP($L371,Data_Validation!$A:$D,1,0)</f>
        <v>6255</v>
      </c>
      <c r="U371" s="153" t="str">
        <f>+VLOOKUP($L371,Data_Validation!$A:$D,3,0)</f>
        <v>Véhicules usagés</v>
      </c>
      <c r="V371" s="153" t="str">
        <f>+VLOOKUP($L371,Data_Validation!$A:$D,4,0)</f>
        <v>Divers</v>
      </c>
      <c r="W371" s="153" t="str">
        <f>+VLOOKUP($L371,Data_Validation!$A:$E,5,0)</f>
        <v>$</v>
      </c>
      <c r="X371" s="153">
        <f>+VLOOKUP($L371,Data_Validation!$A:$F,6,0)</f>
        <v>0</v>
      </c>
    </row>
    <row r="372" spans="1:24" ht="15" customHeight="1">
      <c r="A372" s="1430" t="s">
        <v>1244</v>
      </c>
      <c r="B372" s="1433">
        <v>6256</v>
      </c>
      <c r="C372" s="1432">
        <v>1924.99</v>
      </c>
      <c r="D372" s="1432">
        <v>306.33</v>
      </c>
      <c r="E372" s="1432">
        <v>2231.3200000000002</v>
      </c>
      <c r="F372" s="1430" t="s">
        <v>398</v>
      </c>
      <c r="G372" s="1430" t="s">
        <v>2461</v>
      </c>
      <c r="H372" s="1233"/>
      <c r="I372" s="1240"/>
      <c r="J372" s="1240"/>
      <c r="K372" s="1240"/>
      <c r="L372" s="150">
        <f t="shared" si="18"/>
        <v>6256</v>
      </c>
      <c r="M372" s="151" t="str">
        <f t="shared" si="19"/>
        <v>FRAIS REPRESENTATION - USAGE</v>
      </c>
      <c r="N372" s="152">
        <f>+IF(OR($Q372=Parametres!$G$2,$Q372=Parametres!$G$3),I372,C372)</f>
        <v>1924.99</v>
      </c>
      <c r="O372" s="152">
        <f>+IF(OR($Q372=Parametres!$G$2,$Q372=Parametres!$G$3),J372,D372)</f>
        <v>306.33</v>
      </c>
      <c r="P372" s="152">
        <f>+IF(OR($Q372=Parametres!$G$2,$Q372=Parametres!$G$3),K372,E372)</f>
        <v>2231.3200000000002</v>
      </c>
      <c r="Q372" s="151" t="str">
        <f t="shared" si="27"/>
        <v>7-Dépenses</v>
      </c>
      <c r="R372" s="150" t="str">
        <f t="shared" si="27"/>
        <v>6156</v>
      </c>
      <c r="S372" s="151">
        <f t="shared" si="27"/>
        <v>0</v>
      </c>
      <c r="T372" s="153">
        <f>+VLOOKUP($L372,Data_Validation!$A:$D,1,0)</f>
        <v>6256</v>
      </c>
      <c r="U372" s="153" t="str">
        <f>+VLOOKUP($L372,Data_Validation!$A:$D,3,0)</f>
        <v>Véhicules usagés</v>
      </c>
      <c r="V372" s="153" t="str">
        <f>+VLOOKUP($L372,Data_Validation!$A:$D,4,0)</f>
        <v>Frais de déplacement</v>
      </c>
      <c r="W372" s="153" t="str">
        <f>+VLOOKUP($L372,Data_Validation!$A:$E,5,0)</f>
        <v>$</v>
      </c>
      <c r="X372" s="153">
        <f>+VLOOKUP($L372,Data_Validation!$A:$F,6,0)</f>
        <v>0</v>
      </c>
    </row>
    <row r="373" spans="1:24" ht="15" customHeight="1">
      <c r="A373" s="1430" t="s">
        <v>1305</v>
      </c>
      <c r="B373" s="1433">
        <v>6259</v>
      </c>
      <c r="C373" s="1432">
        <v>9365.1200000000008</v>
      </c>
      <c r="D373" s="1432">
        <v>1037.4100000000001</v>
      </c>
      <c r="E373" s="1432">
        <v>10402.530000000001</v>
      </c>
      <c r="F373" s="1430" t="s">
        <v>398</v>
      </c>
      <c r="G373" s="1430" t="s">
        <v>2653</v>
      </c>
      <c r="H373" s="1233"/>
      <c r="I373" s="1240"/>
      <c r="J373" s="1240"/>
      <c r="K373" s="1240"/>
      <c r="L373" s="150">
        <f t="shared" si="18"/>
        <v>6259</v>
      </c>
      <c r="M373" s="151" t="str">
        <f t="shared" si="19"/>
        <v>SERVICE EXTERIEUR</v>
      </c>
      <c r="N373" s="152">
        <f>+IF(OR($Q373=Parametres!$G$2,$Q373=Parametres!$G$3),I373,C373)</f>
        <v>9365.1200000000008</v>
      </c>
      <c r="O373" s="152">
        <f>+IF(OR($Q373=Parametres!$G$2,$Q373=Parametres!$G$3),J373,D373)</f>
        <v>1037.4100000000001</v>
      </c>
      <c r="P373" s="152">
        <f>+IF(OR($Q373=Parametres!$G$2,$Q373=Parametres!$G$3),K373,E373)</f>
        <v>10402.530000000001</v>
      </c>
      <c r="Q373" s="151" t="str">
        <f t="shared" si="27"/>
        <v>7-Dépenses</v>
      </c>
      <c r="R373" s="150" t="str">
        <f t="shared" si="27"/>
        <v>6159</v>
      </c>
      <c r="S373" s="151">
        <f t="shared" si="27"/>
        <v>0</v>
      </c>
      <c r="T373" s="153">
        <f>+VLOOKUP($L373,Data_Validation!$A:$D,1,0)</f>
        <v>6259</v>
      </c>
      <c r="U373" s="153" t="str">
        <f>+VLOOKUP($L373,Data_Validation!$A:$D,3,0)</f>
        <v>Véhicules usagés</v>
      </c>
      <c r="V373" s="153" t="str">
        <f>+VLOOKUP($L373,Data_Validation!$A:$D,4,0)</f>
        <v>Services extérieurs</v>
      </c>
      <c r="W373" s="153" t="str">
        <f>+VLOOKUP($L373,Data_Validation!$A:$E,5,0)</f>
        <v>$</v>
      </c>
      <c r="X373" s="153">
        <f>+VLOOKUP($L373,Data_Validation!$A:$F,6,0)</f>
        <v>0</v>
      </c>
    </row>
    <row r="374" spans="1:24" ht="15.75" customHeight="1">
      <c r="A374" s="1430" t="s">
        <v>1330</v>
      </c>
      <c r="B374" s="1433">
        <v>6261</v>
      </c>
      <c r="C374" s="1432">
        <v>4755</v>
      </c>
      <c r="D374" s="1432">
        <v>517.74</v>
      </c>
      <c r="E374" s="1432">
        <v>5272.74</v>
      </c>
      <c r="F374" s="1430" t="s">
        <v>398</v>
      </c>
      <c r="G374" s="1430" t="s">
        <v>2644</v>
      </c>
      <c r="H374" s="1233"/>
      <c r="I374" s="1240"/>
      <c r="J374" s="1240"/>
      <c r="K374" s="1240"/>
      <c r="L374" s="150">
        <f t="shared" si="18"/>
        <v>6261</v>
      </c>
      <c r="M374" s="151" t="str">
        <f t="shared" si="19"/>
        <v>DEPRECIATION EQUIP. &amp; FIXTURES</v>
      </c>
      <c r="N374" s="152">
        <f>+IF(OR($Q374=Parametres!$G$2,$Q374=Parametres!$G$3),I374,C374)</f>
        <v>4755</v>
      </c>
      <c r="O374" s="152">
        <f>+IF(OR($Q374=Parametres!$G$2,$Q374=Parametres!$G$3),J374,D374)</f>
        <v>517.74</v>
      </c>
      <c r="P374" s="152">
        <f>+IF(OR($Q374=Parametres!$G$2,$Q374=Parametres!$G$3),K374,E374)</f>
        <v>5272.74</v>
      </c>
      <c r="Q374" s="151" t="str">
        <f t="shared" si="27"/>
        <v>7-Dépenses</v>
      </c>
      <c r="R374" s="150" t="str">
        <f t="shared" si="27"/>
        <v>6161</v>
      </c>
      <c r="S374" s="151">
        <f t="shared" si="27"/>
        <v>0</v>
      </c>
      <c r="T374" s="153">
        <f>+VLOOKUP($L374,Data_Validation!$A:$D,1,0)</f>
        <v>6261</v>
      </c>
      <c r="U374" s="153" t="str">
        <f>+VLOOKUP($L374,Data_Validation!$A:$D,3,0)</f>
        <v>Véhicules usagés</v>
      </c>
      <c r="V374" s="153" t="str">
        <f>+VLOOKUP($L374,Data_Validation!$A:$D,4,0)</f>
        <v>Amortissement</v>
      </c>
      <c r="W374" s="153" t="str">
        <f>+VLOOKUP($L374,Data_Validation!$A:$E,5,0)</f>
        <v>$</v>
      </c>
      <c r="X374" s="153">
        <f>+VLOOKUP($L374,Data_Validation!$A:$F,6,0)</f>
        <v>0</v>
      </c>
    </row>
    <row r="375" spans="1:24" ht="15" customHeight="1">
      <c r="A375" s="1430" t="s">
        <v>1377</v>
      </c>
      <c r="B375" s="1433">
        <v>6281</v>
      </c>
      <c r="C375" s="1432">
        <v>2684.21</v>
      </c>
      <c r="D375" s="1432">
        <v>453</v>
      </c>
      <c r="E375" s="1432">
        <v>3137.21</v>
      </c>
      <c r="F375" s="1430" t="s">
        <v>398</v>
      </c>
      <c r="G375" s="1430" t="s">
        <v>2595</v>
      </c>
      <c r="H375" s="1233"/>
      <c r="I375" s="1240"/>
      <c r="J375" s="1240"/>
      <c r="K375" s="1240"/>
      <c r="L375" s="150">
        <f t="shared" si="18"/>
        <v>6281</v>
      </c>
      <c r="M375" s="151" t="str">
        <f t="shared" si="19"/>
        <v>CHAUFFAGE,ELECTRICITE,EAU-USAGE</v>
      </c>
      <c r="N375" s="152">
        <f>+IF(OR($Q375=Parametres!$G$2,$Q375=Parametres!$G$3),I375,C375)</f>
        <v>2684.21</v>
      </c>
      <c r="O375" s="152">
        <f>+IF(OR($Q375=Parametres!$G$2,$Q375=Parametres!$G$3),J375,D375)</f>
        <v>453</v>
      </c>
      <c r="P375" s="152">
        <f>+IF(OR($Q375=Parametres!$G$2,$Q375=Parametres!$G$3),K375,E375)</f>
        <v>3137.21</v>
      </c>
      <c r="Q375" s="151" t="str">
        <f t="shared" si="27"/>
        <v>7-Dépenses</v>
      </c>
      <c r="R375" s="150" t="str">
        <f t="shared" si="27"/>
        <v>6181</v>
      </c>
      <c r="S375" s="151">
        <f t="shared" si="27"/>
        <v>0</v>
      </c>
      <c r="T375" s="153">
        <f>+VLOOKUP($L375,Data_Validation!$A:$D,1,0)</f>
        <v>6281</v>
      </c>
      <c r="U375" s="153" t="str">
        <f>+VLOOKUP($L375,Data_Validation!$A:$D,3,0)</f>
        <v>Véhicules usagés</v>
      </c>
      <c r="V375" s="153" t="str">
        <f>+VLOOKUP($L375,Data_Validation!$A:$D,4,0)</f>
        <v>Chauffage, éclairage</v>
      </c>
      <c r="W375" s="153" t="str">
        <f>+VLOOKUP($L375,Data_Validation!$A:$E,5,0)</f>
        <v>$</v>
      </c>
      <c r="X375" s="153">
        <f>+VLOOKUP($L375,Data_Validation!$A:$F,6,0)</f>
        <v>0</v>
      </c>
    </row>
    <row r="376" spans="1:24" ht="15" customHeight="1">
      <c r="A376" s="1430" t="s">
        <v>1459</v>
      </c>
      <c r="B376" s="1433">
        <v>6282</v>
      </c>
      <c r="C376" s="1432">
        <v>28080</v>
      </c>
      <c r="D376" s="1432">
        <v>3120</v>
      </c>
      <c r="E376" s="1432">
        <v>31200</v>
      </c>
      <c r="F376" s="1430" t="s">
        <v>398</v>
      </c>
      <c r="G376" s="1430" t="s">
        <v>2700</v>
      </c>
      <c r="H376" s="1233"/>
      <c r="I376" s="1240"/>
      <c r="J376" s="1240"/>
      <c r="K376" s="1240"/>
      <c r="L376" s="150">
        <f t="shared" si="18"/>
        <v>6282</v>
      </c>
      <c r="M376" s="151" t="str">
        <f t="shared" si="19"/>
        <v>LOYER - USAGE</v>
      </c>
      <c r="N376" s="152">
        <f>+IF(OR($Q376=Parametres!$G$2,$Q376=Parametres!$G$3),I376,C376)</f>
        <v>28080</v>
      </c>
      <c r="O376" s="152">
        <f>+IF(OR($Q376=Parametres!$G$2,$Q376=Parametres!$G$3),J376,D376)</f>
        <v>3120</v>
      </c>
      <c r="P376" s="152">
        <f>+IF(OR($Q376=Parametres!$G$2,$Q376=Parametres!$G$3),K376,E376)</f>
        <v>31200</v>
      </c>
      <c r="Q376" s="151" t="str">
        <f t="shared" si="27"/>
        <v>7-Dépenses</v>
      </c>
      <c r="R376" s="150" t="str">
        <f t="shared" si="27"/>
        <v>6182</v>
      </c>
      <c r="S376" s="151">
        <f t="shared" si="27"/>
        <v>0</v>
      </c>
      <c r="T376" s="153">
        <f>+VLOOKUP($L376,Data_Validation!$A:$D,1,0)</f>
        <v>6282</v>
      </c>
      <c r="U376" s="153" t="str">
        <f>+VLOOKUP($L376,Data_Validation!$A:$D,3,0)</f>
        <v>Véhicules usagés</v>
      </c>
      <c r="V376" s="153" t="str">
        <f>+VLOOKUP($L376,Data_Validation!$A:$D,4,0)</f>
        <v>Loyer</v>
      </c>
      <c r="W376" s="153" t="str">
        <f>+VLOOKUP($L376,Data_Validation!$A:$E,5,0)</f>
        <v>$</v>
      </c>
      <c r="X376" s="153">
        <f>+VLOOKUP($L376,Data_Validation!$A:$F,6,0)</f>
        <v>0</v>
      </c>
    </row>
    <row r="377" spans="1:24" ht="15" customHeight="1">
      <c r="A377" s="1430" t="s">
        <v>1287</v>
      </c>
      <c r="B377" s="1433">
        <v>6286</v>
      </c>
      <c r="C377" s="1432">
        <v>4004.73</v>
      </c>
      <c r="D377" s="1432">
        <v>444.97</v>
      </c>
      <c r="E377" s="1432">
        <v>4449.7</v>
      </c>
      <c r="F377" s="1430" t="s">
        <v>398</v>
      </c>
      <c r="G377" s="1430" t="s">
        <v>2585</v>
      </c>
      <c r="H377" s="1233"/>
      <c r="I377" s="1240"/>
      <c r="J377" s="1240"/>
      <c r="K377" s="1240"/>
      <c r="L377" s="150">
        <f t="shared" si="18"/>
        <v>6286</v>
      </c>
      <c r="M377" s="151" t="str">
        <f t="shared" si="19"/>
        <v>ASSURANCE BATISSE &amp; AMEL.-USAGE</v>
      </c>
      <c r="N377" s="152">
        <f>+IF(OR($Q377=Parametres!$G$2,$Q377=Parametres!$G$3),I377,C377)</f>
        <v>4004.73</v>
      </c>
      <c r="O377" s="152">
        <f>+IF(OR($Q377=Parametres!$G$2,$Q377=Parametres!$G$3),J377,D377)</f>
        <v>444.97</v>
      </c>
      <c r="P377" s="152">
        <f>+IF(OR($Q377=Parametres!$G$2,$Q377=Parametres!$G$3),K377,E377)</f>
        <v>4449.7</v>
      </c>
      <c r="Q377" s="151" t="str">
        <f t="shared" si="27"/>
        <v>7-Dépenses</v>
      </c>
      <c r="R377" s="150" t="str">
        <f t="shared" si="27"/>
        <v>6186</v>
      </c>
      <c r="S377" s="151">
        <f t="shared" si="27"/>
        <v>0</v>
      </c>
      <c r="T377" s="153">
        <f>+VLOOKUP($L377,Data_Validation!$A:$D,1,0)</f>
        <v>6286</v>
      </c>
      <c r="U377" s="153" t="str">
        <f>+VLOOKUP($L377,Data_Validation!$A:$D,3,0)</f>
        <v>Véhicules usagés</v>
      </c>
      <c r="V377" s="153" t="str">
        <f>+VLOOKUP($L377,Data_Validation!$A:$D,4,0)</f>
        <v>Assurances</v>
      </c>
      <c r="W377" s="153" t="str">
        <f>+VLOOKUP($L377,Data_Validation!$A:$E,5,0)</f>
        <v>$</v>
      </c>
      <c r="X377" s="153">
        <f>+VLOOKUP($L377,Data_Validation!$A:$F,6,0)</f>
        <v>0</v>
      </c>
    </row>
    <row r="378" spans="1:24" ht="15" customHeight="1">
      <c r="A378" s="1430" t="s">
        <v>1200</v>
      </c>
      <c r="B378" s="1433">
        <v>6287</v>
      </c>
      <c r="C378" s="1432">
        <v>5194.8</v>
      </c>
      <c r="D378" s="1432">
        <v>577.20000000000005</v>
      </c>
      <c r="E378" s="1432">
        <v>5772</v>
      </c>
      <c r="F378" s="1430" t="s">
        <v>398</v>
      </c>
      <c r="G378" s="1430" t="s">
        <v>2605</v>
      </c>
      <c r="H378" s="1233"/>
      <c r="I378" s="1240"/>
      <c r="J378" s="1240"/>
      <c r="K378" s="1240"/>
      <c r="L378" s="150">
        <f t="shared" si="18"/>
        <v>6287</v>
      </c>
      <c r="M378" s="151" t="str">
        <f t="shared" si="19"/>
        <v>TAXES FONCIERES - USAGE</v>
      </c>
      <c r="N378" s="152">
        <f>+IF(OR($Q378=Parametres!$G$2,$Q378=Parametres!$G$3),I378,C378)</f>
        <v>5194.8</v>
      </c>
      <c r="O378" s="152">
        <f>+IF(OR($Q378=Parametres!$G$2,$Q378=Parametres!$G$3),J378,D378)</f>
        <v>577.20000000000005</v>
      </c>
      <c r="P378" s="152">
        <f>+IF(OR($Q378=Parametres!$G$2,$Q378=Parametres!$G$3),K378,E378)</f>
        <v>5772</v>
      </c>
      <c r="Q378" s="151" t="str">
        <f t="shared" si="27"/>
        <v>7-Dépenses</v>
      </c>
      <c r="R378" s="150" t="str">
        <f t="shared" si="27"/>
        <v>6187</v>
      </c>
      <c r="S378" s="151">
        <f t="shared" si="27"/>
        <v>0</v>
      </c>
      <c r="T378" s="153">
        <f>+VLOOKUP($L378,Data_Validation!$A:$D,1,0)</f>
        <v>6287</v>
      </c>
      <c r="U378" s="153" t="str">
        <f>+VLOOKUP($L378,Data_Validation!$A:$D,3,0)</f>
        <v>Véhicules usagés</v>
      </c>
      <c r="V378" s="153" t="str">
        <f>+VLOOKUP($L378,Data_Validation!$A:$D,4,0)</f>
        <v>Taxes foncières</v>
      </c>
      <c r="W378" s="153" t="str">
        <f>+VLOOKUP($L378,Data_Validation!$A:$E,5,0)</f>
        <v>$</v>
      </c>
      <c r="X378" s="153">
        <f>+VLOOKUP($L378,Data_Validation!$A:$F,6,0)</f>
        <v>0</v>
      </c>
    </row>
    <row r="379" spans="1:24" ht="15.75" customHeight="1">
      <c r="A379" s="1430" t="s">
        <v>1390</v>
      </c>
      <c r="B379" s="1433">
        <v>6293</v>
      </c>
      <c r="C379" s="1432">
        <v>3456</v>
      </c>
      <c r="D379" s="1432">
        <v>384</v>
      </c>
      <c r="E379" s="1432">
        <v>3840</v>
      </c>
      <c r="F379" s="1430" t="s">
        <v>398</v>
      </c>
      <c r="G379" s="1430" t="s">
        <v>2588</v>
      </c>
      <c r="H379" s="1233"/>
      <c r="I379" s="1240"/>
      <c r="J379" s="1240"/>
      <c r="K379" s="1240"/>
      <c r="L379" s="150">
        <f t="shared" si="18"/>
        <v>6293</v>
      </c>
      <c r="M379" s="151" t="str">
        <f t="shared" si="19"/>
        <v>AUTRE TAXES - USAGES</v>
      </c>
      <c r="N379" s="152">
        <f>+IF(OR($Q379=Parametres!$G$2,$Q379=Parametres!$G$3),I379,C379)</f>
        <v>3456</v>
      </c>
      <c r="O379" s="152">
        <f>+IF(OR($Q379=Parametres!$G$2,$Q379=Parametres!$G$3),J379,D379)</f>
        <v>384</v>
      </c>
      <c r="P379" s="152">
        <f>+IF(OR($Q379=Parametres!$G$2,$Q379=Parametres!$G$3),K379,E379)</f>
        <v>3840</v>
      </c>
      <c r="Q379" s="151" t="str">
        <f t="shared" si="27"/>
        <v>7-Dépenses</v>
      </c>
      <c r="R379" s="150" t="str">
        <f t="shared" si="27"/>
        <v>6193</v>
      </c>
      <c r="S379" s="151">
        <f t="shared" si="27"/>
        <v>0</v>
      </c>
      <c r="T379" s="153">
        <f>+VLOOKUP($L379,Data_Validation!$A:$D,1,0)</f>
        <v>6293</v>
      </c>
      <c r="U379" s="153" t="str">
        <f>+VLOOKUP($L379,Data_Validation!$A:$D,3,0)</f>
        <v>Véhicules usagés</v>
      </c>
      <c r="V379" s="153" t="str">
        <f>+VLOOKUP($L379,Data_Validation!$A:$D,4,0)</f>
        <v>Taxes d`affaires</v>
      </c>
      <c r="W379" s="153" t="str">
        <f>+VLOOKUP($L379,Data_Validation!$A:$E,5,0)</f>
        <v>$</v>
      </c>
      <c r="X379" s="153">
        <f>+VLOOKUP($L379,Data_Validation!$A:$F,6,0)</f>
        <v>0</v>
      </c>
    </row>
    <row r="380" spans="1:24" ht="15" customHeight="1">
      <c r="A380" s="1430" t="s">
        <v>1315</v>
      </c>
      <c r="B380" s="1433">
        <v>6294</v>
      </c>
      <c r="C380" s="1432">
        <v>6976.94</v>
      </c>
      <c r="D380" s="1432">
        <v>746.06</v>
      </c>
      <c r="E380" s="1432">
        <v>7723</v>
      </c>
      <c r="F380" s="1430" t="s">
        <v>398</v>
      </c>
      <c r="G380" s="1430" t="s">
        <v>2626</v>
      </c>
      <c r="H380" s="1233"/>
      <c r="I380" s="1240"/>
      <c r="J380" s="1240"/>
      <c r="K380" s="1240"/>
      <c r="L380" s="150">
        <f t="shared" si="18"/>
        <v>6294</v>
      </c>
      <c r="M380" s="151" t="str">
        <f t="shared" si="19"/>
        <v>FRAIS PROFESSIONNEL-USAGE</v>
      </c>
      <c r="N380" s="152">
        <f>+IF(OR($Q380=Parametres!$G$2,$Q380=Parametres!$G$3),I380,C380)</f>
        <v>6976.94</v>
      </c>
      <c r="O380" s="152">
        <f>+IF(OR($Q380=Parametres!$G$2,$Q380=Parametres!$G$3),J380,D380)</f>
        <v>746.06</v>
      </c>
      <c r="P380" s="152">
        <f>+IF(OR($Q380=Parametres!$G$2,$Q380=Parametres!$G$3),K380,E380)</f>
        <v>7723</v>
      </c>
      <c r="Q380" s="151" t="str">
        <f t="shared" si="27"/>
        <v>7-Dépenses</v>
      </c>
      <c r="R380" s="150" t="str">
        <f t="shared" si="27"/>
        <v>6194</v>
      </c>
      <c r="S380" s="151">
        <f t="shared" si="27"/>
        <v>0</v>
      </c>
      <c r="T380" s="153">
        <f>+VLOOKUP($L380,Data_Validation!$A:$D,1,0)</f>
        <v>6294</v>
      </c>
      <c r="U380" s="153" t="str">
        <f>+VLOOKUP($L380,Data_Validation!$A:$D,3,0)</f>
        <v>Véhicules usagés</v>
      </c>
      <c r="V380" s="153" t="str">
        <f>+VLOOKUP($L380,Data_Validation!$A:$D,4,0)</f>
        <v>Honoraires</v>
      </c>
      <c r="W380" s="153" t="str">
        <f>+VLOOKUP($L380,Data_Validation!$A:$E,5,0)</f>
        <v>$</v>
      </c>
      <c r="X380" s="153">
        <f>+VLOOKUP($L380,Data_Validation!$A:$F,6,0)</f>
        <v>0</v>
      </c>
    </row>
    <row r="381" spans="1:24" ht="15" customHeight="1">
      <c r="A381" s="1430" t="s">
        <v>1400</v>
      </c>
      <c r="B381" s="1433">
        <v>6403</v>
      </c>
      <c r="C381" s="1432">
        <v>24040.639999999999</v>
      </c>
      <c r="D381" s="1432">
        <v>2190.83</v>
      </c>
      <c r="E381" s="1432">
        <v>26231.47</v>
      </c>
      <c r="F381" s="1430" t="s">
        <v>398</v>
      </c>
      <c r="G381" s="1430" t="s">
        <v>2458</v>
      </c>
      <c r="H381" s="1233"/>
      <c r="I381" s="1240"/>
      <c r="J381" s="1240"/>
      <c r="K381" s="1240"/>
      <c r="L381" s="150">
        <f t="shared" si="18"/>
        <v>6403</v>
      </c>
      <c r="M381" s="151" t="str">
        <f t="shared" si="19"/>
        <v>RELAT. A LA CLIENTELE &amp; AJUST</v>
      </c>
      <c r="N381" s="152">
        <f>+IF(OR($Q381=Parametres!$G$2,$Q381=Parametres!$G$3),I381,C381)</f>
        <v>24040.639999999999</v>
      </c>
      <c r="O381" s="152">
        <f>+IF(OR($Q381=Parametres!$G$2,$Q381=Parametres!$G$3),J381,D381)</f>
        <v>2190.83</v>
      </c>
      <c r="P381" s="152">
        <f>+IF(OR($Q381=Parametres!$G$2,$Q381=Parametres!$G$3),K381,E381)</f>
        <v>26231.47</v>
      </c>
      <c r="Q381" s="151" t="str">
        <f t="shared" si="27"/>
        <v>7-Dépenses</v>
      </c>
      <c r="R381" s="150" t="str">
        <f t="shared" si="27"/>
        <v>6112</v>
      </c>
      <c r="S381" s="151">
        <f t="shared" si="27"/>
        <v>0</v>
      </c>
      <c r="T381" s="153">
        <f>+VLOOKUP($L381,Data_Validation!$A:$D,1,0)</f>
        <v>6403</v>
      </c>
      <c r="U381" s="153" t="str">
        <f>+VLOOKUP($L381,Data_Validation!$A:$D,3,0)</f>
        <v>Service</v>
      </c>
      <c r="V381" s="153" t="str">
        <f>+VLOOKUP($L381,Data_Validation!$A:$D,4,0)</f>
        <v>Service gratuit 2</v>
      </c>
      <c r="W381" s="153" t="str">
        <f>+VLOOKUP($L381,Data_Validation!$A:$E,5,0)</f>
        <v>$</v>
      </c>
      <c r="X381" s="153">
        <f>+VLOOKUP($L381,Data_Validation!$A:$F,6,0)</f>
        <v>0</v>
      </c>
    </row>
    <row r="382" spans="1:24" ht="15" customHeight="1">
      <c r="A382" s="1430" t="s">
        <v>1447</v>
      </c>
      <c r="B382" s="1433">
        <v>6412</v>
      </c>
      <c r="C382" s="1432">
        <v>1744.14</v>
      </c>
      <c r="D382" s="1432">
        <v>23.57</v>
      </c>
      <c r="E382" s="1432">
        <v>1767.71</v>
      </c>
      <c r="F382" s="1430" t="s">
        <v>398</v>
      </c>
      <c r="G382" s="1430" t="s">
        <v>2458</v>
      </c>
      <c r="H382" s="1233"/>
      <c r="I382" s="1240"/>
      <c r="J382" s="1240"/>
      <c r="K382" s="1240"/>
      <c r="L382" s="150">
        <f t="shared" si="18"/>
        <v>6412</v>
      </c>
      <c r="M382" s="151" t="str">
        <f t="shared" si="19"/>
        <v>AUTORISATION &amp; GAR./VEH. USA</v>
      </c>
      <c r="N382" s="152">
        <f>+IF(OR($Q382=Parametres!$G$2,$Q382=Parametres!$G$3),I382,C382)</f>
        <v>1744.14</v>
      </c>
      <c r="O382" s="152">
        <f>+IF(OR($Q382=Parametres!$G$2,$Q382=Parametres!$G$3),J382,D382)</f>
        <v>23.57</v>
      </c>
      <c r="P382" s="152">
        <f>+IF(OR($Q382=Parametres!$G$2,$Q382=Parametres!$G$3),K382,E382)</f>
        <v>1767.71</v>
      </c>
      <c r="Q382" s="151" t="str">
        <f t="shared" si="27"/>
        <v>7-Dépenses</v>
      </c>
      <c r="R382" s="150" t="str">
        <f t="shared" si="27"/>
        <v>6112</v>
      </c>
      <c r="S382" s="151">
        <f t="shared" si="27"/>
        <v>0</v>
      </c>
      <c r="T382" s="153">
        <f>+VLOOKUP($L382,Data_Validation!$A:$D,1,0)</f>
        <v>6412</v>
      </c>
      <c r="U382" s="153" t="str">
        <f>+VLOOKUP($L382,Data_Validation!$A:$D,3,0)</f>
        <v>Service</v>
      </c>
      <c r="V382" s="153" t="str">
        <f>+VLOOKUP($L382,Data_Validation!$A:$D,4,0)</f>
        <v>Service gratuit 2</v>
      </c>
      <c r="W382" s="153" t="str">
        <f>+VLOOKUP($L382,Data_Validation!$A:$E,5,0)</f>
        <v>$</v>
      </c>
      <c r="X382" s="153">
        <f>+VLOOKUP($L382,Data_Validation!$A:$F,6,0)</f>
        <v>0</v>
      </c>
    </row>
    <row r="383" spans="1:24" ht="15.75" customHeight="1">
      <c r="A383" s="1430" t="s">
        <v>1371</v>
      </c>
      <c r="B383" s="1433">
        <v>6414</v>
      </c>
      <c r="C383" s="1432">
        <v>59542.46</v>
      </c>
      <c r="D383" s="1432">
        <v>7611.59</v>
      </c>
      <c r="E383" s="1432">
        <v>67154.05</v>
      </c>
      <c r="F383" s="1430" t="s">
        <v>398</v>
      </c>
      <c r="G383" s="1430" t="s">
        <v>2106</v>
      </c>
      <c r="H383" s="1233"/>
      <c r="I383" s="1240"/>
      <c r="J383" s="1240"/>
      <c r="K383" s="1240"/>
      <c r="L383" s="150">
        <f t="shared" si="18"/>
        <v>6414</v>
      </c>
      <c r="M383" s="151" t="str">
        <f t="shared" si="19"/>
        <v>PUBLICITE</v>
      </c>
      <c r="N383" s="152">
        <f>+IF(OR($Q383=Parametres!$G$2,$Q383=Parametres!$G$3),I383,C383)</f>
        <v>59542.46</v>
      </c>
      <c r="O383" s="152">
        <f>+IF(OR($Q383=Parametres!$G$2,$Q383=Parametres!$G$3),J383,D383)</f>
        <v>7611.59</v>
      </c>
      <c r="P383" s="152">
        <f>+IF(OR($Q383=Parametres!$G$2,$Q383=Parametres!$G$3),K383,E383)</f>
        <v>67154.05</v>
      </c>
      <c r="Q383" s="151" t="str">
        <f t="shared" si="27"/>
        <v>7-Dépenses</v>
      </c>
      <c r="R383" s="150" t="str">
        <f t="shared" si="27"/>
        <v>6114</v>
      </c>
      <c r="S383" s="151">
        <f t="shared" si="27"/>
        <v>0</v>
      </c>
      <c r="T383" s="153">
        <f>+VLOOKUP($L383,Data_Validation!$A:$D,1,0)</f>
        <v>6414</v>
      </c>
      <c r="U383" s="153" t="str">
        <f>+VLOOKUP($L383,Data_Validation!$A:$D,3,0)</f>
        <v>Service</v>
      </c>
      <c r="V383" s="153" t="str">
        <f>+VLOOKUP($L383,Data_Validation!$A:$D,4,0)</f>
        <v>Publicité 2</v>
      </c>
      <c r="W383" s="153" t="str">
        <f>+VLOOKUP($L383,Data_Validation!$A:$E,5,0)</f>
        <v>$</v>
      </c>
      <c r="X383" s="153">
        <f>+VLOOKUP($L383,Data_Validation!$A:$F,6,0)</f>
        <v>0</v>
      </c>
    </row>
    <row r="384" spans="1:24" ht="15" customHeight="1">
      <c r="A384" s="1430" t="s">
        <v>1256</v>
      </c>
      <c r="B384" s="1433">
        <v>6421</v>
      </c>
      <c r="C384" s="1432">
        <v>7726.58</v>
      </c>
      <c r="D384" s="1432">
        <v>3214.55</v>
      </c>
      <c r="E384" s="1432">
        <v>10941.13</v>
      </c>
      <c r="F384" s="1430" t="s">
        <v>398</v>
      </c>
      <c r="G384" s="1430" t="s">
        <v>2639</v>
      </c>
      <c r="H384" s="1233"/>
      <c r="I384" s="1240"/>
      <c r="J384" s="1240"/>
      <c r="K384" s="1240"/>
      <c r="L384" s="150">
        <f t="shared" si="18"/>
        <v>6421</v>
      </c>
      <c r="M384" s="151" t="str">
        <f t="shared" si="19"/>
        <v>SALAIRES - PROPRIETAIRES</v>
      </c>
      <c r="N384" s="152">
        <f>+IF(OR($Q384=Parametres!$G$2,$Q384=Parametres!$G$3),I384,C384)</f>
        <v>7726.58</v>
      </c>
      <c r="O384" s="152">
        <f>+IF(OR($Q384=Parametres!$G$2,$Q384=Parametres!$G$3),J384,D384)</f>
        <v>3214.55</v>
      </c>
      <c r="P384" s="152">
        <f>+IF(OR($Q384=Parametres!$G$2,$Q384=Parametres!$G$3),K384,E384)</f>
        <v>10941.13</v>
      </c>
      <c r="Q384" s="151" t="str">
        <f t="shared" si="27"/>
        <v>7-Dépenses</v>
      </c>
      <c r="R384" s="150" t="str">
        <f t="shared" si="27"/>
        <v>6121</v>
      </c>
      <c r="S384" s="151">
        <f t="shared" si="27"/>
        <v>0</v>
      </c>
      <c r="T384" s="153">
        <f>+VLOOKUP($L384,Data_Validation!$A:$D,1,0)</f>
        <v>6421</v>
      </c>
      <c r="U384" s="153" t="str">
        <f>+VLOOKUP($L384,Data_Validation!$A:$D,3,0)</f>
        <v>Service</v>
      </c>
      <c r="V384" s="153" t="str">
        <f>+VLOOKUP($L384,Data_Validation!$A:$D,4,0)</f>
        <v>Salaires propriétaire</v>
      </c>
      <c r="W384" s="153" t="str">
        <f>+VLOOKUP($L384,Data_Validation!$A:$E,5,0)</f>
        <v>$</v>
      </c>
      <c r="X384" s="153">
        <f>+VLOOKUP($L384,Data_Validation!$A:$F,6,0)</f>
        <v>0</v>
      </c>
    </row>
    <row r="385" spans="1:24" ht="15" customHeight="1">
      <c r="A385" s="1430" t="s">
        <v>2615</v>
      </c>
      <c r="B385" s="1433">
        <v>6422</v>
      </c>
      <c r="C385" s="1432">
        <v>105198.65</v>
      </c>
      <c r="D385" s="1432">
        <v>12685.11</v>
      </c>
      <c r="E385" s="1432">
        <v>117883.76</v>
      </c>
      <c r="F385" s="1430" t="s">
        <v>398</v>
      </c>
      <c r="G385" s="1430" t="s">
        <v>2617</v>
      </c>
      <c r="H385" s="1233"/>
      <c r="I385" s="1240"/>
      <c r="J385" s="1240"/>
      <c r="K385" s="1240"/>
      <c r="L385" s="150">
        <f t="shared" si="18"/>
        <v>6422</v>
      </c>
      <c r="M385" s="151" t="str">
        <f t="shared" si="19"/>
        <v>SAL SUPERVISION / GERANT</v>
      </c>
      <c r="N385" s="152">
        <f>+IF(OR($Q385=Parametres!$G$2,$Q385=Parametres!$G$3),I385,C385)</f>
        <v>105198.65</v>
      </c>
      <c r="O385" s="152">
        <f>+IF(OR($Q385=Parametres!$G$2,$Q385=Parametres!$G$3),J385,D385)</f>
        <v>12685.11</v>
      </c>
      <c r="P385" s="152">
        <f>+IF(OR($Q385=Parametres!$G$2,$Q385=Parametres!$G$3),K385,E385)</f>
        <v>117883.76</v>
      </c>
      <c r="Q385" s="151" t="str">
        <f t="shared" si="27"/>
        <v>7-Dépenses</v>
      </c>
      <c r="R385" s="150" t="str">
        <f t="shared" si="27"/>
        <v>6122</v>
      </c>
      <c r="S385" s="151">
        <f t="shared" si="27"/>
        <v>0</v>
      </c>
      <c r="T385" s="153">
        <f>+VLOOKUP($L385,Data_Validation!$A:$D,1,0)</f>
        <v>6422</v>
      </c>
      <c r="U385" s="153" t="str">
        <f>+VLOOKUP($L385,Data_Validation!$A:$D,3,0)</f>
        <v>Service</v>
      </c>
      <c r="V385" s="153" t="str">
        <f>+VLOOKUP($L385,Data_Validation!$A:$D,4,0)</f>
        <v>Salaires cadres</v>
      </c>
      <c r="W385" s="153" t="str">
        <f>+VLOOKUP($L385,Data_Validation!$A:$E,5,0)</f>
        <v>$</v>
      </c>
      <c r="X385" s="153">
        <f>+VLOOKUP($L385,Data_Validation!$A:$F,6,0)</f>
        <v>0</v>
      </c>
    </row>
    <row r="386" spans="1:24" ht="15" customHeight="1">
      <c r="A386" s="1430" t="s">
        <v>1263</v>
      </c>
      <c r="B386" s="1433">
        <v>6423</v>
      </c>
      <c r="C386" s="1432">
        <v>76943.490000000005</v>
      </c>
      <c r="D386" s="1432">
        <v>9498.98</v>
      </c>
      <c r="E386" s="1432">
        <v>86442.47</v>
      </c>
      <c r="F386" s="1430" t="s">
        <v>398</v>
      </c>
      <c r="G386" s="1430" t="s">
        <v>2670</v>
      </c>
      <c r="H386" s="1233"/>
      <c r="I386" s="1240"/>
      <c r="J386" s="1240"/>
      <c r="K386" s="1240"/>
      <c r="L386" s="150">
        <f t="shared" si="18"/>
        <v>6423</v>
      </c>
      <c r="M386" s="151" t="str">
        <f t="shared" si="19"/>
        <v>SAL. &amp; RENUM. CLERICAL</v>
      </c>
      <c r="N386" s="152">
        <f>+IF(OR($Q386=Parametres!$G$2,$Q386=Parametres!$G$3),I386,C386)</f>
        <v>76943.490000000005</v>
      </c>
      <c r="O386" s="152">
        <f>+IF(OR($Q386=Parametres!$G$2,$Q386=Parametres!$G$3),J386,D386)</f>
        <v>9498.98</v>
      </c>
      <c r="P386" s="152">
        <f>+IF(OR($Q386=Parametres!$G$2,$Q386=Parametres!$G$3),K386,E386)</f>
        <v>86442.47</v>
      </c>
      <c r="Q386" s="151" t="str">
        <f t="shared" ref="Q386:S401" si="28">+F386</f>
        <v>7-Dépenses</v>
      </c>
      <c r="R386" s="150" t="str">
        <f t="shared" si="28"/>
        <v>6123</v>
      </c>
      <c r="S386" s="151">
        <f t="shared" si="28"/>
        <v>0</v>
      </c>
      <c r="T386" s="153">
        <f>+VLOOKUP($L386,Data_Validation!$A:$D,1,0)</f>
        <v>6423</v>
      </c>
      <c r="U386" s="153" t="str">
        <f>+VLOOKUP($L386,Data_Validation!$A:$D,3,0)</f>
        <v>Service</v>
      </c>
      <c r="V386" s="153" t="str">
        <f>+VLOOKUP($L386,Data_Validation!$A:$D,4,0)</f>
        <v>Salaires commis</v>
      </c>
      <c r="W386" s="153" t="str">
        <f>+VLOOKUP($L386,Data_Validation!$A:$E,5,0)</f>
        <v>$</v>
      </c>
      <c r="X386" s="153">
        <f>+VLOOKUP($L386,Data_Validation!$A:$F,6,0)</f>
        <v>0</v>
      </c>
    </row>
    <row r="387" spans="1:24" ht="15.75" customHeight="1">
      <c r="A387" s="1430" t="s">
        <v>1246</v>
      </c>
      <c r="B387" s="1433">
        <v>6424</v>
      </c>
      <c r="C387" s="1432">
        <v>98312.17</v>
      </c>
      <c r="D387" s="1432">
        <v>15297.88</v>
      </c>
      <c r="E387" s="1432">
        <v>113610.05</v>
      </c>
      <c r="F387" s="1430" t="s">
        <v>398</v>
      </c>
      <c r="G387" s="1430" t="s">
        <v>2726</v>
      </c>
      <c r="H387" s="1233"/>
      <c r="I387" s="1240"/>
      <c r="J387" s="1240"/>
      <c r="K387" s="1240"/>
      <c r="L387" s="150">
        <f t="shared" si="18"/>
        <v>6424</v>
      </c>
      <c r="M387" s="151" t="str">
        <f t="shared" si="19"/>
        <v>SALAIRES &amp; RENUM. - AUTRES</v>
      </c>
      <c r="N387" s="152">
        <f>+IF(OR($Q387=Parametres!$G$2,$Q387=Parametres!$G$3),I387,C387)</f>
        <v>98312.17</v>
      </c>
      <c r="O387" s="152">
        <f>+IF(OR($Q387=Parametres!$G$2,$Q387=Parametres!$G$3),J387,D387)</f>
        <v>15297.88</v>
      </c>
      <c r="P387" s="152">
        <f>+IF(OR($Q387=Parametres!$G$2,$Q387=Parametres!$G$3),K387,E387)</f>
        <v>113610.05</v>
      </c>
      <c r="Q387" s="151" t="str">
        <f t="shared" si="28"/>
        <v>7-Dépenses</v>
      </c>
      <c r="R387" s="150" t="str">
        <f t="shared" si="28"/>
        <v>6124</v>
      </c>
      <c r="S387" s="151">
        <f t="shared" si="28"/>
        <v>0</v>
      </c>
      <c r="T387" s="153">
        <f>+VLOOKUP($L387,Data_Validation!$A:$D,1,0)</f>
        <v>6424</v>
      </c>
      <c r="U387" s="153" t="str">
        <f>+VLOOKUP($L387,Data_Validation!$A:$D,3,0)</f>
        <v>Service</v>
      </c>
      <c r="V387" s="153" t="str">
        <f>+VLOOKUP($L387,Data_Validation!$A:$D,4,0)</f>
        <v>Salaires autres</v>
      </c>
      <c r="W387" s="153" t="str">
        <f>+VLOOKUP($L387,Data_Validation!$A:$E,5,0)</f>
        <v>$</v>
      </c>
      <c r="X387" s="153">
        <f>+VLOOKUP($L387,Data_Validation!$A:$F,6,0)</f>
        <v>0</v>
      </c>
    </row>
    <row r="388" spans="1:24" ht="15" customHeight="1">
      <c r="A388" s="1430" t="s">
        <v>1327</v>
      </c>
      <c r="B388" s="1433">
        <v>6425</v>
      </c>
      <c r="C388" s="1432">
        <v>196585.69</v>
      </c>
      <c r="D388" s="1432">
        <v>34321.269999999997</v>
      </c>
      <c r="E388" s="1432">
        <v>230906.96</v>
      </c>
      <c r="F388" s="1430" t="s">
        <v>398</v>
      </c>
      <c r="G388" s="1430" t="s">
        <v>2712</v>
      </c>
      <c r="H388" s="1233"/>
      <c r="I388" s="1240"/>
      <c r="J388" s="1240"/>
      <c r="K388" s="1240"/>
      <c r="L388" s="150">
        <f t="shared" si="18"/>
        <v>6425</v>
      </c>
      <c r="M388" s="151" t="str">
        <f t="shared" si="19"/>
        <v>SALAIRE SPECIALISTES</v>
      </c>
      <c r="N388" s="152">
        <f>+IF(OR($Q388=Parametres!$G$2,$Q388=Parametres!$G$3),I388,C388)</f>
        <v>196585.69</v>
      </c>
      <c r="O388" s="152">
        <f>+IF(OR($Q388=Parametres!$G$2,$Q388=Parametres!$G$3),J388,D388)</f>
        <v>34321.269999999997</v>
      </c>
      <c r="P388" s="152">
        <f>+IF(OR($Q388=Parametres!$G$2,$Q388=Parametres!$G$3),K388,E388)</f>
        <v>230906.96</v>
      </c>
      <c r="Q388" s="151" t="str">
        <f t="shared" si="28"/>
        <v>7-Dépenses</v>
      </c>
      <c r="R388" s="150" t="str">
        <f t="shared" si="28"/>
        <v>6125</v>
      </c>
      <c r="S388" s="151">
        <f t="shared" si="28"/>
        <v>0</v>
      </c>
      <c r="T388" s="153">
        <f>+VLOOKUP($L388,Data_Validation!$A:$D,1,0)</f>
        <v>6425</v>
      </c>
      <c r="U388" s="153" t="str">
        <f>+VLOOKUP($L388,Data_Validation!$A:$D,3,0)</f>
        <v>Service</v>
      </c>
      <c r="V388" s="153" t="str">
        <f>+VLOOKUP($L388,Data_Validation!$A:$D,4,0)</f>
        <v>Salaires spécialistes</v>
      </c>
      <c r="W388" s="153" t="str">
        <f>+VLOOKUP($L388,Data_Validation!$A:$E,5,0)</f>
        <v>$</v>
      </c>
      <c r="X388" s="153">
        <f>+VLOOKUP($L388,Data_Validation!$A:$F,6,0)</f>
        <v>0</v>
      </c>
    </row>
    <row r="389" spans="1:24" ht="15" customHeight="1">
      <c r="A389" s="1430" t="s">
        <v>1445</v>
      </c>
      <c r="B389" s="1433">
        <v>6429</v>
      </c>
      <c r="C389" s="1432">
        <v>129735.47</v>
      </c>
      <c r="D389" s="1432">
        <v>14004.09</v>
      </c>
      <c r="E389" s="1432">
        <v>143739.56</v>
      </c>
      <c r="F389" s="1430" t="s">
        <v>398</v>
      </c>
      <c r="G389" s="1430" t="s">
        <v>2632</v>
      </c>
      <c r="H389" s="1233"/>
      <c r="I389" s="1240"/>
      <c r="J389" s="1240"/>
      <c r="K389" s="1240"/>
      <c r="L389" s="150">
        <f t="shared" si="18"/>
        <v>6429</v>
      </c>
      <c r="M389" s="151" t="str">
        <f t="shared" si="19"/>
        <v>SAL.,VACANCE, &amp; SAL. JOURS FER</v>
      </c>
      <c r="N389" s="152">
        <f>+IF(OR($Q389=Parametres!$G$2,$Q389=Parametres!$G$3),I389,C389)</f>
        <v>129735.47</v>
      </c>
      <c r="O389" s="152">
        <f>+IF(OR($Q389=Parametres!$G$2,$Q389=Parametres!$G$3),J389,D389)</f>
        <v>14004.09</v>
      </c>
      <c r="P389" s="152">
        <f>+IF(OR($Q389=Parametres!$G$2,$Q389=Parametres!$G$3),K389,E389)</f>
        <v>143739.56</v>
      </c>
      <c r="Q389" s="151" t="str">
        <f t="shared" si="28"/>
        <v>7-Dépenses</v>
      </c>
      <c r="R389" s="150" t="str">
        <f t="shared" si="28"/>
        <v>6129</v>
      </c>
      <c r="S389" s="151">
        <f t="shared" si="28"/>
        <v>0</v>
      </c>
      <c r="T389" s="153">
        <f>+VLOOKUP($L389,Data_Validation!$A:$D,1,0)</f>
        <v>6429</v>
      </c>
      <c r="U389" s="153" t="str">
        <f>+VLOOKUP($L389,Data_Validation!$A:$D,3,0)</f>
        <v>Service</v>
      </c>
      <c r="V389" s="153" t="str">
        <f>+VLOOKUP($L389,Data_Validation!$A:$D,4,0)</f>
        <v>Salaires en absences</v>
      </c>
      <c r="W389" s="153" t="str">
        <f>+VLOOKUP($L389,Data_Validation!$A:$E,5,0)</f>
        <v>$</v>
      </c>
      <c r="X389" s="153">
        <f>+VLOOKUP($L389,Data_Validation!$A:$F,6,0)</f>
        <v>0</v>
      </c>
    </row>
    <row r="390" spans="1:24" ht="15" customHeight="1">
      <c r="A390" s="1430" t="s">
        <v>1249</v>
      </c>
      <c r="B390" s="1433">
        <v>6431</v>
      </c>
      <c r="C390" s="1432">
        <v>21958.03</v>
      </c>
      <c r="D390" s="1432">
        <v>2417.19</v>
      </c>
      <c r="E390" s="1432">
        <v>24375.22</v>
      </c>
      <c r="F390" s="1430" t="s">
        <v>398</v>
      </c>
      <c r="G390" s="1430" t="s">
        <v>2577</v>
      </c>
      <c r="H390" s="1233"/>
      <c r="I390" s="1240"/>
      <c r="J390" s="1240"/>
      <c r="K390" s="1240"/>
      <c r="L390" s="150">
        <f t="shared" si="18"/>
        <v>6431</v>
      </c>
      <c r="M390" s="151" t="str">
        <f t="shared" si="19"/>
        <v>CSST</v>
      </c>
      <c r="N390" s="152">
        <f>+IF(OR($Q390=Parametres!$G$2,$Q390=Parametres!$G$3),I390,C390)</f>
        <v>21958.03</v>
      </c>
      <c r="O390" s="152">
        <f>+IF(OR($Q390=Parametres!$G$2,$Q390=Parametres!$G$3),J390,D390)</f>
        <v>2417.19</v>
      </c>
      <c r="P390" s="152">
        <f>+IF(OR($Q390=Parametres!$G$2,$Q390=Parametres!$G$3),K390,E390)</f>
        <v>24375.22</v>
      </c>
      <c r="Q390" s="151" t="str">
        <f t="shared" si="28"/>
        <v>7-Dépenses</v>
      </c>
      <c r="R390" s="150" t="str">
        <f t="shared" si="28"/>
        <v>6131</v>
      </c>
      <c r="S390" s="151">
        <f t="shared" si="28"/>
        <v>0</v>
      </c>
      <c r="T390" s="153">
        <f>+VLOOKUP($L390,Data_Validation!$A:$D,1,0)</f>
        <v>6431</v>
      </c>
      <c r="U390" s="153" t="str">
        <f>+VLOOKUP($L390,Data_Validation!$A:$D,3,0)</f>
        <v>Service</v>
      </c>
      <c r="V390" s="153" t="str">
        <f>+VLOOKUP($L390,Data_Validation!$A:$D,4,0)</f>
        <v>Csst</v>
      </c>
      <c r="W390" s="153" t="str">
        <f>+VLOOKUP($L390,Data_Validation!$A:$E,5,0)</f>
        <v>$</v>
      </c>
      <c r="X390" s="153">
        <f>+VLOOKUP($L390,Data_Validation!$A:$F,6,0)</f>
        <v>0</v>
      </c>
    </row>
    <row r="391" spans="1:24" ht="15.75" customHeight="1">
      <c r="A391" s="1430" t="s">
        <v>1280</v>
      </c>
      <c r="B391" s="1433">
        <v>6432</v>
      </c>
      <c r="C391" s="1432">
        <v>131748.10999999999</v>
      </c>
      <c r="D391" s="1432">
        <v>14503.16</v>
      </c>
      <c r="E391" s="1432">
        <v>146251.26999999999</v>
      </c>
      <c r="F391" s="1430" t="s">
        <v>398</v>
      </c>
      <c r="G391" s="1430" t="s">
        <v>2676</v>
      </c>
      <c r="H391" s="1233"/>
      <c r="I391" s="1240"/>
      <c r="J391" s="1240"/>
      <c r="K391" s="1240"/>
      <c r="L391" s="150">
        <f t="shared" si="18"/>
        <v>6432</v>
      </c>
      <c r="M391" s="151" t="str">
        <f t="shared" si="19"/>
        <v>RRQ RAMQ AC</v>
      </c>
      <c r="N391" s="152">
        <f>+IF(OR($Q391=Parametres!$G$2,$Q391=Parametres!$G$3),I391,C391)</f>
        <v>131748.10999999999</v>
      </c>
      <c r="O391" s="152">
        <f>+IF(OR($Q391=Parametres!$G$2,$Q391=Parametres!$G$3),J391,D391)</f>
        <v>14503.16</v>
      </c>
      <c r="P391" s="152">
        <f>+IF(OR($Q391=Parametres!$G$2,$Q391=Parametres!$G$3),K391,E391)</f>
        <v>146251.26999999999</v>
      </c>
      <c r="Q391" s="151" t="str">
        <f t="shared" si="28"/>
        <v>7-Dépenses</v>
      </c>
      <c r="R391" s="150" t="str">
        <f t="shared" si="28"/>
        <v>6132</v>
      </c>
      <c r="S391" s="151">
        <f t="shared" si="28"/>
        <v>0</v>
      </c>
      <c r="T391" s="153">
        <f>+VLOOKUP($L391,Data_Validation!$A:$D,1,0)</f>
        <v>6432</v>
      </c>
      <c r="U391" s="153" t="str">
        <f>+VLOOKUP($L391,Data_Validation!$A:$D,3,0)</f>
        <v>Service</v>
      </c>
      <c r="V391" s="153" t="str">
        <f>+VLOOKUP($L391,Data_Validation!$A:$D,4,0)</f>
        <v>Déduction à la source</v>
      </c>
      <c r="W391" s="153" t="str">
        <f>+VLOOKUP($L391,Data_Validation!$A:$E,5,0)</f>
        <v>$</v>
      </c>
      <c r="X391" s="153">
        <f>+VLOOKUP($L391,Data_Validation!$A:$F,6,0)</f>
        <v>0</v>
      </c>
    </row>
    <row r="392" spans="1:24" ht="15" customHeight="1">
      <c r="A392" s="1430" t="s">
        <v>1217</v>
      </c>
      <c r="B392" s="1433">
        <v>6433</v>
      </c>
      <c r="C392" s="1432">
        <v>2224.62</v>
      </c>
      <c r="D392" s="1432">
        <v>233.33</v>
      </c>
      <c r="E392" s="1432">
        <v>2457.9499999999998</v>
      </c>
      <c r="F392" s="1430" t="s">
        <v>398</v>
      </c>
      <c r="G392" s="1430" t="s">
        <v>2570</v>
      </c>
      <c r="H392" s="1233"/>
      <c r="I392" s="1240"/>
      <c r="J392" s="1240"/>
      <c r="K392" s="1240"/>
      <c r="L392" s="150">
        <f t="shared" si="18"/>
        <v>6433</v>
      </c>
      <c r="M392" s="151" t="str">
        <f t="shared" si="19"/>
        <v>FOND PENSION - SERVICE</v>
      </c>
      <c r="N392" s="152">
        <f>+IF(OR($Q392=Parametres!$G$2,$Q392=Parametres!$G$3),I392,C392)</f>
        <v>2224.62</v>
      </c>
      <c r="O392" s="152">
        <f>+IF(OR($Q392=Parametres!$G$2,$Q392=Parametres!$G$3),J392,D392)</f>
        <v>233.33</v>
      </c>
      <c r="P392" s="152">
        <f>+IF(OR($Q392=Parametres!$G$2,$Q392=Parametres!$G$3),K392,E392)</f>
        <v>2457.9499999999998</v>
      </c>
      <c r="Q392" s="151" t="str">
        <f t="shared" si="28"/>
        <v>7-Dépenses</v>
      </c>
      <c r="R392" s="150" t="str">
        <f t="shared" si="28"/>
        <v>6133</v>
      </c>
      <c r="S392" s="151">
        <f t="shared" si="28"/>
        <v>0</v>
      </c>
      <c r="T392" s="153">
        <f>+VLOOKUP($L392,Data_Validation!$A:$D,1,0)</f>
        <v>6433</v>
      </c>
      <c r="U392" s="153" t="str">
        <f>+VLOOKUP($L392,Data_Validation!$A:$D,3,0)</f>
        <v>Service</v>
      </c>
      <c r="V392" s="153" t="str">
        <f>+VLOOKUP($L392,Data_Validation!$A:$D,4,0)</f>
        <v>Bénéfices marginaux</v>
      </c>
      <c r="W392" s="153" t="str">
        <f>+VLOOKUP($L392,Data_Validation!$A:$E,5,0)</f>
        <v>$</v>
      </c>
      <c r="X392" s="153">
        <f>+VLOOKUP($L392,Data_Validation!$A:$F,6,0)</f>
        <v>0</v>
      </c>
    </row>
    <row r="393" spans="1:24" ht="15" customHeight="1">
      <c r="A393" s="1430" t="s">
        <v>1302</v>
      </c>
      <c r="B393" s="1433">
        <v>6439</v>
      </c>
      <c r="C393" s="1432">
        <v>92194.85</v>
      </c>
      <c r="D393" s="1432">
        <v>10160.6</v>
      </c>
      <c r="E393" s="1432">
        <v>102355.45</v>
      </c>
      <c r="F393" s="1430" t="s">
        <v>398</v>
      </c>
      <c r="G393" s="1430" t="s">
        <v>2685</v>
      </c>
      <c r="H393" s="1233"/>
      <c r="I393" s="1240"/>
      <c r="J393" s="1240"/>
      <c r="K393" s="1240"/>
      <c r="L393" s="150">
        <f t="shared" si="18"/>
        <v>6439</v>
      </c>
      <c r="M393" s="151" t="str">
        <f t="shared" si="19"/>
        <v>ASSURANCE GROUPE</v>
      </c>
      <c r="N393" s="152">
        <f>+IF(OR($Q393=Parametres!$G$2,$Q393=Parametres!$G$3),I393,C393)</f>
        <v>92194.85</v>
      </c>
      <c r="O393" s="152">
        <f>+IF(OR($Q393=Parametres!$G$2,$Q393=Parametres!$G$3),J393,D393)</f>
        <v>10160.6</v>
      </c>
      <c r="P393" s="152">
        <f>+IF(OR($Q393=Parametres!$G$2,$Q393=Parametres!$G$3),K393,E393)</f>
        <v>102355.45</v>
      </c>
      <c r="Q393" s="151" t="str">
        <f t="shared" si="28"/>
        <v>7-Dépenses</v>
      </c>
      <c r="R393" s="150" t="str">
        <f t="shared" si="28"/>
        <v>6139</v>
      </c>
      <c r="S393" s="151">
        <f t="shared" si="28"/>
        <v>0</v>
      </c>
      <c r="T393" s="153">
        <f>+VLOOKUP($L393,Data_Validation!$A:$D,1,0)</f>
        <v>6439</v>
      </c>
      <c r="U393" s="153" t="str">
        <f>+VLOOKUP($L393,Data_Validation!$A:$D,3,0)</f>
        <v>Service</v>
      </c>
      <c r="V393" s="153" t="str">
        <f>+VLOOKUP($L393,Data_Validation!$A:$D,4,0)</f>
        <v>Bénéfices marginaux</v>
      </c>
      <c r="W393" s="153" t="str">
        <f>+VLOOKUP($L393,Data_Validation!$A:$E,5,0)</f>
        <v>$</v>
      </c>
      <c r="X393" s="153">
        <f>+VLOOKUP($L393,Data_Validation!$A:$F,6,0)</f>
        <v>0</v>
      </c>
    </row>
    <row r="394" spans="1:24" ht="15" customHeight="1">
      <c r="A394" s="1430" t="s">
        <v>1175</v>
      </c>
      <c r="B394" s="1433">
        <v>6441</v>
      </c>
      <c r="C394" s="1432">
        <v>843.52</v>
      </c>
      <c r="D394" s="1432">
        <v>2240.36</v>
      </c>
      <c r="E394" s="1432">
        <v>3083.88</v>
      </c>
      <c r="F394" s="1430" t="s">
        <v>398</v>
      </c>
      <c r="G394" s="1430" t="s">
        <v>2458</v>
      </c>
      <c r="H394" s="1233"/>
      <c r="I394" s="1240"/>
      <c r="J394" s="1240"/>
      <c r="K394" s="1240"/>
      <c r="L394" s="150">
        <f t="shared" si="18"/>
        <v>6441</v>
      </c>
      <c r="M394" s="151" t="str">
        <f t="shared" si="19"/>
        <v>RETOURS</v>
      </c>
      <c r="N394" s="152">
        <f>+IF(OR($Q394=Parametres!$G$2,$Q394=Parametres!$G$3),I394,C394)</f>
        <v>843.52</v>
      </c>
      <c r="O394" s="152">
        <f>+IF(OR($Q394=Parametres!$G$2,$Q394=Parametres!$G$3),J394,D394)</f>
        <v>2240.36</v>
      </c>
      <c r="P394" s="152">
        <f>+IF(OR($Q394=Parametres!$G$2,$Q394=Parametres!$G$3),K394,E394)</f>
        <v>3083.88</v>
      </c>
      <c r="Q394" s="151" t="str">
        <f t="shared" si="28"/>
        <v>7-Dépenses</v>
      </c>
      <c r="R394" s="150" t="str">
        <f t="shared" si="28"/>
        <v>6112</v>
      </c>
      <c r="S394" s="151">
        <f t="shared" si="28"/>
        <v>0</v>
      </c>
      <c r="T394" s="153">
        <f>+VLOOKUP($L394,Data_Validation!$A:$D,1,0)</f>
        <v>6441</v>
      </c>
      <c r="U394" s="153" t="str">
        <f>+VLOOKUP($L394,Data_Validation!$A:$D,3,0)</f>
        <v>Service</v>
      </c>
      <c r="V394" s="153" t="str">
        <f>+VLOOKUP($L394,Data_Validation!$A:$D,4,0)</f>
        <v>Service gratuit 2</v>
      </c>
      <c r="W394" s="153" t="str">
        <f>+VLOOKUP($L394,Data_Validation!$A:$E,5,0)</f>
        <v>$</v>
      </c>
      <c r="X394" s="153">
        <f>+VLOOKUP($L394,Data_Validation!$A:$F,6,0)</f>
        <v>0</v>
      </c>
    </row>
    <row r="395" spans="1:24" ht="15.75" customHeight="1">
      <c r="A395" s="1430" t="s">
        <v>1154</v>
      </c>
      <c r="B395" s="1433">
        <v>6442</v>
      </c>
      <c r="C395" s="1432">
        <v>8423.32</v>
      </c>
      <c r="D395" s="1432">
        <v>-364.13</v>
      </c>
      <c r="E395" s="1432">
        <v>8059.19</v>
      </c>
      <c r="F395" s="1430" t="s">
        <v>398</v>
      </c>
      <c r="G395" s="1430" t="s">
        <v>2554</v>
      </c>
      <c r="H395" s="1233"/>
      <c r="I395" s="1240"/>
      <c r="J395" s="1240"/>
      <c r="K395" s="1240"/>
      <c r="L395" s="150">
        <f t="shared" si="18"/>
        <v>6442</v>
      </c>
      <c r="M395" s="151" t="str">
        <f t="shared" si="19"/>
        <v>FOURNITURES &amp; PETITS OUTILS</v>
      </c>
      <c r="N395" s="152">
        <f>+IF(OR($Q395=Parametres!$G$2,$Q395=Parametres!$G$3),I395,C395)</f>
        <v>8423.32</v>
      </c>
      <c r="O395" s="152">
        <f>+IF(OR($Q395=Parametres!$G$2,$Q395=Parametres!$G$3),J395,D395)</f>
        <v>-364.13</v>
      </c>
      <c r="P395" s="152">
        <f>+IF(OR($Q395=Parametres!$G$2,$Q395=Parametres!$G$3),K395,E395)</f>
        <v>8059.19</v>
      </c>
      <c r="Q395" s="151" t="str">
        <f t="shared" si="28"/>
        <v>7-Dépenses</v>
      </c>
      <c r="R395" s="150" t="str">
        <f t="shared" si="28"/>
        <v>6142</v>
      </c>
      <c r="S395" s="151">
        <f t="shared" si="28"/>
        <v>0</v>
      </c>
      <c r="T395" s="153">
        <f>+VLOOKUP($L395,Data_Validation!$A:$D,1,0)</f>
        <v>6442</v>
      </c>
      <c r="U395" s="153" t="str">
        <f>+VLOOKUP($L395,Data_Validation!$A:$D,3,0)</f>
        <v>Service</v>
      </c>
      <c r="V395" s="153" t="str">
        <f>+VLOOKUP($L395,Data_Validation!$A:$D,4,0)</f>
        <v>Fournitures autres</v>
      </c>
      <c r="W395" s="153" t="str">
        <f>+VLOOKUP($L395,Data_Validation!$A:$E,5,0)</f>
        <v>$</v>
      </c>
      <c r="X395" s="153">
        <f>+VLOOKUP($L395,Data_Validation!$A:$F,6,0)</f>
        <v>0</v>
      </c>
    </row>
    <row r="396" spans="1:24" ht="15" customHeight="1">
      <c r="A396" s="1430" t="s">
        <v>929</v>
      </c>
      <c r="B396" s="1433">
        <v>6443</v>
      </c>
      <c r="C396" s="1432">
        <v>5314.14</v>
      </c>
      <c r="D396" s="1432">
        <v>1244</v>
      </c>
      <c r="E396" s="1432">
        <v>6558.14</v>
      </c>
      <c r="F396" s="1430" t="s">
        <v>398</v>
      </c>
      <c r="G396" s="1430" t="s">
        <v>2152</v>
      </c>
      <c r="H396" s="1233"/>
      <c r="I396" s="1240"/>
      <c r="J396" s="1240"/>
      <c r="K396" s="1240"/>
      <c r="L396" s="150">
        <f t="shared" si="18"/>
        <v>6443</v>
      </c>
      <c r="M396" s="151" t="str">
        <f t="shared" si="19"/>
        <v>UNIFORMES &amp; LESSIVE</v>
      </c>
      <c r="N396" s="152">
        <f>+IF(OR($Q396=Parametres!$G$2,$Q396=Parametres!$G$3),I396,C396)</f>
        <v>5314.14</v>
      </c>
      <c r="O396" s="152">
        <f>+IF(OR($Q396=Parametres!$G$2,$Q396=Parametres!$G$3),J396,D396)</f>
        <v>1244</v>
      </c>
      <c r="P396" s="152">
        <f>+IF(OR($Q396=Parametres!$G$2,$Q396=Parametres!$G$3),K396,E396)</f>
        <v>6558.14</v>
      </c>
      <c r="Q396" s="151" t="str">
        <f t="shared" si="28"/>
        <v>7-Dépenses</v>
      </c>
      <c r="R396" s="150" t="str">
        <f t="shared" si="28"/>
        <v>6143</v>
      </c>
      <c r="S396" s="151">
        <f t="shared" si="28"/>
        <v>0</v>
      </c>
      <c r="T396" s="153">
        <f>+VLOOKUP($L396,Data_Validation!$A:$D,1,0)</f>
        <v>6443</v>
      </c>
      <c r="U396" s="153" t="str">
        <f>+VLOOKUP($L396,Data_Validation!$A:$D,3,0)</f>
        <v>Service</v>
      </c>
      <c r="V396" s="153" t="str">
        <f>+VLOOKUP($L396,Data_Validation!$A:$D,4,0)</f>
        <v>Uniformes</v>
      </c>
      <c r="W396" s="153" t="str">
        <f>+VLOOKUP($L396,Data_Validation!$A:$E,5,0)</f>
        <v>$</v>
      </c>
      <c r="X396" s="153">
        <f>+VLOOKUP($L396,Data_Validation!$A:$F,6,0)</f>
        <v>0</v>
      </c>
    </row>
    <row r="397" spans="1:24" ht="15" customHeight="1">
      <c r="A397" s="1430" t="s">
        <v>931</v>
      </c>
      <c r="B397" s="1433">
        <v>6444</v>
      </c>
      <c r="C397" s="1432">
        <v>14234.31</v>
      </c>
      <c r="D397" s="1432">
        <v>-2759.34</v>
      </c>
      <c r="E397" s="1432">
        <v>11474.97</v>
      </c>
      <c r="F397" s="1430" t="s">
        <v>398</v>
      </c>
      <c r="G397" s="1430" t="s">
        <v>2552</v>
      </c>
      <c r="H397" s="1233"/>
      <c r="I397" s="1240"/>
      <c r="J397" s="1240"/>
      <c r="K397" s="1240"/>
      <c r="L397" s="150">
        <f t="shared" si="18"/>
        <v>6444</v>
      </c>
      <c r="M397" s="151" t="str">
        <f t="shared" si="19"/>
        <v>FORMATION</v>
      </c>
      <c r="N397" s="152">
        <f>+IF(OR($Q397=Parametres!$G$2,$Q397=Parametres!$G$3),I397,C397)</f>
        <v>14234.31</v>
      </c>
      <c r="O397" s="152">
        <f>+IF(OR($Q397=Parametres!$G$2,$Q397=Parametres!$G$3),J397,D397)</f>
        <v>-2759.34</v>
      </c>
      <c r="P397" s="152">
        <f>+IF(OR($Q397=Parametres!$G$2,$Q397=Parametres!$G$3),K397,E397)</f>
        <v>11474.97</v>
      </c>
      <c r="Q397" s="151" t="str">
        <f t="shared" si="28"/>
        <v>7-Dépenses</v>
      </c>
      <c r="R397" s="150" t="str">
        <f t="shared" si="28"/>
        <v>6144</v>
      </c>
      <c r="S397" s="151">
        <f t="shared" si="28"/>
        <v>0</v>
      </c>
      <c r="T397" s="153">
        <f>+VLOOKUP($L397,Data_Validation!$A:$D,1,0)</f>
        <v>6444</v>
      </c>
      <c r="U397" s="153" t="str">
        <f>+VLOOKUP($L397,Data_Validation!$A:$D,3,0)</f>
        <v>Service</v>
      </c>
      <c r="V397" s="153" t="str">
        <f>+VLOOKUP($L397,Data_Validation!$A:$D,4,0)</f>
        <v>Formation</v>
      </c>
      <c r="W397" s="153" t="str">
        <f>+VLOOKUP($L397,Data_Validation!$A:$E,5,0)</f>
        <v>$</v>
      </c>
      <c r="X397" s="153">
        <f>+VLOOKUP($L397,Data_Validation!$A:$F,6,0)</f>
        <v>0</v>
      </c>
    </row>
    <row r="398" spans="1:24" ht="15" customHeight="1">
      <c r="A398" s="1430" t="s">
        <v>1524</v>
      </c>
      <c r="B398" s="1433">
        <v>6445</v>
      </c>
      <c r="C398" s="1432">
        <v>135576.34</v>
      </c>
      <c r="D398" s="1432">
        <v>14655.85</v>
      </c>
      <c r="E398" s="1432">
        <v>150232.19</v>
      </c>
      <c r="F398" s="1430" t="s">
        <v>398</v>
      </c>
      <c r="G398" s="1430" t="s">
        <v>2623</v>
      </c>
      <c r="H398" s="1233"/>
      <c r="I398" s="1240"/>
      <c r="J398" s="1240"/>
      <c r="K398" s="1240"/>
      <c r="L398" s="150">
        <f t="shared" si="18"/>
        <v>6445</v>
      </c>
      <c r="M398" s="151" t="str">
        <f t="shared" si="19"/>
        <v>LOCATION COURTOISIE</v>
      </c>
      <c r="N398" s="152">
        <f>+IF(OR($Q398=Parametres!$G$2,$Q398=Parametres!$G$3),I398,C398)</f>
        <v>135576.34</v>
      </c>
      <c r="O398" s="152">
        <f>+IF(OR($Q398=Parametres!$G$2,$Q398=Parametres!$G$3),J398,D398)</f>
        <v>14655.85</v>
      </c>
      <c r="P398" s="152">
        <f>+IF(OR($Q398=Parametres!$G$2,$Q398=Parametres!$G$3),K398,E398)</f>
        <v>150232.19</v>
      </c>
      <c r="Q398" s="151" t="str">
        <f t="shared" si="28"/>
        <v>7-Dépenses</v>
      </c>
      <c r="R398" s="150" t="str">
        <f t="shared" si="28"/>
        <v>6145</v>
      </c>
      <c r="S398" s="151">
        <f t="shared" si="28"/>
        <v>0</v>
      </c>
      <c r="T398" s="153">
        <f>+VLOOKUP($L398,Data_Validation!$A:$D,1,0)</f>
        <v>6445</v>
      </c>
      <c r="U398" s="153" t="str">
        <f>+VLOOKUP($L398,Data_Validation!$A:$D,3,0)</f>
        <v>Service</v>
      </c>
      <c r="V398" s="153" t="str">
        <f>+VLOOKUP($L398,Data_Validation!$A:$D,4,0)</f>
        <v>Frais véhicules de cie</v>
      </c>
      <c r="W398" s="153" t="str">
        <f>+VLOOKUP($L398,Data_Validation!$A:$E,5,0)</f>
        <v>$</v>
      </c>
      <c r="X398" s="153">
        <f>+VLOOKUP($L398,Data_Validation!$A:$F,6,0)</f>
        <v>0</v>
      </c>
    </row>
    <row r="399" spans="1:24" ht="15.75" customHeight="1">
      <c r="A399" s="1430" t="s">
        <v>1177</v>
      </c>
      <c r="B399" s="1433">
        <v>6447</v>
      </c>
      <c r="C399" s="1432">
        <v>1273.21</v>
      </c>
      <c r="D399" s="1432">
        <v>263.07</v>
      </c>
      <c r="E399" s="1432">
        <v>1536.28</v>
      </c>
      <c r="F399" s="1430" t="s">
        <v>398</v>
      </c>
      <c r="G399" s="1430" t="s">
        <v>2572</v>
      </c>
      <c r="H399" s="1233"/>
      <c r="I399" s="1240"/>
      <c r="J399" s="1240"/>
      <c r="K399" s="1240"/>
      <c r="L399" s="150">
        <f t="shared" si="18"/>
        <v>6447</v>
      </c>
      <c r="M399" s="151" t="str">
        <f t="shared" si="19"/>
        <v>FRET/EXPRESS/TRANS. PAR CAMION</v>
      </c>
      <c r="N399" s="152">
        <f>+IF(OR($Q399=Parametres!$G$2,$Q399=Parametres!$G$3),I399,C399)</f>
        <v>1273.21</v>
      </c>
      <c r="O399" s="152">
        <f>+IF(OR($Q399=Parametres!$G$2,$Q399=Parametres!$G$3),J399,D399)</f>
        <v>263.07</v>
      </c>
      <c r="P399" s="152">
        <f>+IF(OR($Q399=Parametres!$G$2,$Q399=Parametres!$G$3),K399,E399)</f>
        <v>1536.28</v>
      </c>
      <c r="Q399" s="151" t="str">
        <f t="shared" si="28"/>
        <v>7-Dépenses</v>
      </c>
      <c r="R399" s="150" t="str">
        <f t="shared" si="28"/>
        <v>6147</v>
      </c>
      <c r="S399" s="151">
        <f t="shared" si="28"/>
        <v>0</v>
      </c>
      <c r="T399" s="153">
        <f>+VLOOKUP($L399,Data_Validation!$A:$D,1,0)</f>
        <v>6447</v>
      </c>
      <c r="U399" s="153" t="str">
        <f>+VLOOKUP($L399,Data_Validation!$A:$D,3,0)</f>
        <v>Service</v>
      </c>
      <c r="V399" s="153" t="str">
        <f>+VLOOKUP($L399,Data_Validation!$A:$D,4,0)</f>
        <v>Frais postaux</v>
      </c>
      <c r="W399" s="153" t="str">
        <f>+VLOOKUP($L399,Data_Validation!$A:$E,5,0)</f>
        <v>$</v>
      </c>
      <c r="X399" s="153">
        <f>+VLOOKUP($L399,Data_Validation!$A:$F,6,0)</f>
        <v>0</v>
      </c>
    </row>
    <row r="400" spans="1:24" ht="15" customHeight="1">
      <c r="A400" s="1430" t="s">
        <v>1283</v>
      </c>
      <c r="B400" s="1433">
        <v>6451</v>
      </c>
      <c r="C400" s="1432">
        <v>34961.050000000003</v>
      </c>
      <c r="D400" s="1432">
        <v>4183.37</v>
      </c>
      <c r="E400" s="1432">
        <v>39144.42</v>
      </c>
      <c r="F400" s="1430" t="s">
        <v>398</v>
      </c>
      <c r="G400" s="1430" t="s">
        <v>2693</v>
      </c>
      <c r="H400" s="1233"/>
      <c r="I400" s="1240"/>
      <c r="J400" s="1240"/>
      <c r="K400" s="1240"/>
      <c r="L400" s="150">
        <f t="shared" si="18"/>
        <v>6451</v>
      </c>
      <c r="M400" s="151" t="str">
        <f t="shared" si="19"/>
        <v>DEP. DU TRAITEMENT DES DONNEES</v>
      </c>
      <c r="N400" s="152">
        <f>+IF(OR($Q400=Parametres!$G$2,$Q400=Parametres!$G$3),I400,C400)</f>
        <v>34961.050000000003</v>
      </c>
      <c r="O400" s="152">
        <f>+IF(OR($Q400=Parametres!$G$2,$Q400=Parametres!$G$3),J400,D400)</f>
        <v>4183.37</v>
      </c>
      <c r="P400" s="152">
        <f>+IF(OR($Q400=Parametres!$G$2,$Q400=Parametres!$G$3),K400,E400)</f>
        <v>39144.42</v>
      </c>
      <c r="Q400" s="151" t="str">
        <f t="shared" si="28"/>
        <v>7-Dépenses</v>
      </c>
      <c r="R400" s="150" t="str">
        <f t="shared" si="28"/>
        <v>6151</v>
      </c>
      <c r="S400" s="151">
        <f t="shared" si="28"/>
        <v>0</v>
      </c>
      <c r="T400" s="153">
        <f>+VLOOKUP($L400,Data_Validation!$A:$D,1,0)</f>
        <v>6451</v>
      </c>
      <c r="U400" s="153" t="str">
        <f>+VLOOKUP($L400,Data_Validation!$A:$D,3,0)</f>
        <v>Service</v>
      </c>
      <c r="V400" s="153" t="str">
        <f>+VLOOKUP($L400,Data_Validation!$A:$D,4,0)</f>
        <v>Informatique</v>
      </c>
      <c r="W400" s="153" t="str">
        <f>+VLOOKUP($L400,Data_Validation!$A:$E,5,0)</f>
        <v>$</v>
      </c>
      <c r="X400" s="153">
        <f>+VLOOKUP($L400,Data_Validation!$A:$F,6,0)</f>
        <v>0</v>
      </c>
    </row>
    <row r="401" spans="1:24" ht="15" customHeight="1">
      <c r="A401" s="1430" t="s">
        <v>1203</v>
      </c>
      <c r="B401" s="1433">
        <v>6452</v>
      </c>
      <c r="C401" s="1432">
        <v>5289.59</v>
      </c>
      <c r="D401" s="1432">
        <v>616.41</v>
      </c>
      <c r="E401" s="1432">
        <v>5906</v>
      </c>
      <c r="F401" s="1430" t="s">
        <v>398</v>
      </c>
      <c r="G401" s="1430" t="s">
        <v>2579</v>
      </c>
      <c r="H401" s="1233"/>
      <c r="I401" s="1240"/>
      <c r="J401" s="1240"/>
      <c r="K401" s="1240"/>
      <c r="L401" s="150">
        <f t="shared" si="18"/>
        <v>6452</v>
      </c>
      <c r="M401" s="151" t="str">
        <f t="shared" si="19"/>
        <v>PAPETERIE</v>
      </c>
      <c r="N401" s="152">
        <f>+IF(OR($Q401=Parametres!$G$2,$Q401=Parametres!$G$3),I401,C401)</f>
        <v>5289.59</v>
      </c>
      <c r="O401" s="152">
        <f>+IF(OR($Q401=Parametres!$G$2,$Q401=Parametres!$G$3),J401,D401)</f>
        <v>616.41</v>
      </c>
      <c r="P401" s="152">
        <f>+IF(OR($Q401=Parametres!$G$2,$Q401=Parametres!$G$3),K401,E401)</f>
        <v>5906</v>
      </c>
      <c r="Q401" s="151" t="str">
        <f t="shared" si="28"/>
        <v>7-Dépenses</v>
      </c>
      <c r="R401" s="150" t="str">
        <f t="shared" si="28"/>
        <v>6152</v>
      </c>
      <c r="S401" s="151">
        <f t="shared" si="28"/>
        <v>0</v>
      </c>
      <c r="T401" s="153">
        <f>+VLOOKUP($L401,Data_Validation!$A:$D,1,0)</f>
        <v>6452</v>
      </c>
      <c r="U401" s="153" t="str">
        <f>+VLOOKUP($L401,Data_Validation!$A:$D,3,0)</f>
        <v>Service</v>
      </c>
      <c r="V401" s="153" t="str">
        <f>+VLOOKUP($L401,Data_Validation!$A:$D,4,0)</f>
        <v>Papeterie</v>
      </c>
      <c r="W401" s="153" t="str">
        <f>+VLOOKUP($L401,Data_Validation!$A:$E,5,0)</f>
        <v>$</v>
      </c>
      <c r="X401" s="153">
        <f>+VLOOKUP($L401,Data_Validation!$A:$F,6,0)</f>
        <v>0</v>
      </c>
    </row>
    <row r="402" spans="1:24" ht="15" customHeight="1">
      <c r="A402" s="1430" t="s">
        <v>1151</v>
      </c>
      <c r="B402" s="1433">
        <v>6453</v>
      </c>
      <c r="C402" s="1432">
        <v>2396.84</v>
      </c>
      <c r="D402" s="1432">
        <v>253.56</v>
      </c>
      <c r="E402" s="1432">
        <v>2650.4</v>
      </c>
      <c r="F402" s="1430" t="s">
        <v>398</v>
      </c>
      <c r="G402" s="1430" t="s">
        <v>2583</v>
      </c>
      <c r="H402" s="1233"/>
      <c r="I402" s="1240"/>
      <c r="J402" s="1240"/>
      <c r="K402" s="1240"/>
      <c r="L402" s="150">
        <f t="shared" si="18"/>
        <v>6453</v>
      </c>
      <c r="M402" s="151" t="str">
        <f t="shared" si="19"/>
        <v>TELEPHONE ET TELEX</v>
      </c>
      <c r="N402" s="152">
        <f>+IF(OR($Q402=Parametres!$G$2,$Q402=Parametres!$G$3),I402,C402)</f>
        <v>2396.84</v>
      </c>
      <c r="O402" s="152">
        <f>+IF(OR($Q402=Parametres!$G$2,$Q402=Parametres!$G$3),J402,D402)</f>
        <v>253.56</v>
      </c>
      <c r="P402" s="152">
        <f>+IF(OR($Q402=Parametres!$G$2,$Q402=Parametres!$G$3),K402,E402)</f>
        <v>2650.4</v>
      </c>
      <c r="Q402" s="151" t="str">
        <f t="shared" ref="Q402:S417" si="29">+F402</f>
        <v>7-Dépenses</v>
      </c>
      <c r="R402" s="150" t="str">
        <f t="shared" si="29"/>
        <v>6153</v>
      </c>
      <c r="S402" s="151">
        <f t="shared" si="29"/>
        <v>0</v>
      </c>
      <c r="T402" s="153">
        <f>+VLOOKUP($L402,Data_Validation!$A:$D,1,0)</f>
        <v>6453</v>
      </c>
      <c r="U402" s="153" t="str">
        <f>+VLOOKUP($L402,Data_Validation!$A:$D,3,0)</f>
        <v>Service</v>
      </c>
      <c r="V402" s="153" t="str">
        <f>+VLOOKUP($L402,Data_Validation!$A:$D,4,0)</f>
        <v>Téléphone</v>
      </c>
      <c r="W402" s="153" t="str">
        <f>+VLOOKUP($L402,Data_Validation!$A:$E,5,0)</f>
        <v>$</v>
      </c>
      <c r="X402" s="153">
        <f>+VLOOKUP($L402,Data_Validation!$A:$F,6,0)</f>
        <v>0</v>
      </c>
    </row>
    <row r="403" spans="1:24" ht="15.75" customHeight="1">
      <c r="A403" s="1430" t="s">
        <v>1234</v>
      </c>
      <c r="B403" s="1433">
        <v>6455</v>
      </c>
      <c r="C403" s="1432">
        <v>4514.08</v>
      </c>
      <c r="D403" s="1432">
        <v>1018.38</v>
      </c>
      <c r="E403" s="1432">
        <v>5532.46</v>
      </c>
      <c r="F403" s="1430" t="s">
        <v>398</v>
      </c>
      <c r="G403" s="1430" t="s">
        <v>2628</v>
      </c>
      <c r="H403" s="1233"/>
      <c r="I403" s="1240"/>
      <c r="J403" s="1240"/>
      <c r="K403" s="1240"/>
      <c r="L403" s="150">
        <f t="shared" si="18"/>
        <v>6455</v>
      </c>
      <c r="M403" s="151" t="str">
        <f t="shared" si="19"/>
        <v>DEPENSES DIVERS</v>
      </c>
      <c r="N403" s="152">
        <f>+IF(OR($Q403=Parametres!$G$2,$Q403=Parametres!$G$3),I403,C403)</f>
        <v>4514.08</v>
      </c>
      <c r="O403" s="152">
        <f>+IF(OR($Q403=Parametres!$G$2,$Q403=Parametres!$G$3),J403,D403)</f>
        <v>1018.38</v>
      </c>
      <c r="P403" s="152">
        <f>+IF(OR($Q403=Parametres!$G$2,$Q403=Parametres!$G$3),K403,E403)</f>
        <v>5532.46</v>
      </c>
      <c r="Q403" s="151" t="str">
        <f t="shared" si="29"/>
        <v>7-Dépenses</v>
      </c>
      <c r="R403" s="150" t="str">
        <f t="shared" si="29"/>
        <v>6155</v>
      </c>
      <c r="S403" s="151">
        <f t="shared" si="29"/>
        <v>0</v>
      </c>
      <c r="T403" s="153">
        <f>+VLOOKUP($L403,Data_Validation!$A:$D,1,0)</f>
        <v>6455</v>
      </c>
      <c r="U403" s="153" t="str">
        <f>+VLOOKUP($L403,Data_Validation!$A:$D,3,0)</f>
        <v>Service</v>
      </c>
      <c r="V403" s="153" t="str">
        <f>+VLOOKUP($L403,Data_Validation!$A:$D,4,0)</f>
        <v>Divers</v>
      </c>
      <c r="W403" s="153" t="str">
        <f>+VLOOKUP($L403,Data_Validation!$A:$E,5,0)</f>
        <v>$</v>
      </c>
      <c r="X403" s="153">
        <f>+VLOOKUP($L403,Data_Validation!$A:$F,6,0)</f>
        <v>0</v>
      </c>
    </row>
    <row r="404" spans="1:24" ht="15" customHeight="1">
      <c r="A404" s="1430" t="s">
        <v>1289</v>
      </c>
      <c r="B404" s="1433">
        <v>6456</v>
      </c>
      <c r="C404" s="1432">
        <v>3183.18</v>
      </c>
      <c r="D404" s="1432">
        <v>1096.8800000000001</v>
      </c>
      <c r="E404" s="1432">
        <v>4280.0600000000004</v>
      </c>
      <c r="F404" s="1430" t="s">
        <v>398</v>
      </c>
      <c r="G404" s="1430" t="s">
        <v>2461</v>
      </c>
      <c r="H404" s="1233"/>
      <c r="I404" s="1240"/>
      <c r="J404" s="1240"/>
      <c r="K404" s="1240"/>
      <c r="L404" s="150">
        <f t="shared" si="18"/>
        <v>6456</v>
      </c>
      <c r="M404" s="151" t="str">
        <f t="shared" si="19"/>
        <v>FRAIS REPRESENTATION - SERVICE</v>
      </c>
      <c r="N404" s="152">
        <f>+IF(OR($Q404=Parametres!$G$2,$Q404=Parametres!$G$3),I404,C404)</f>
        <v>3183.18</v>
      </c>
      <c r="O404" s="152">
        <f>+IF(OR($Q404=Parametres!$G$2,$Q404=Parametres!$G$3),J404,D404)</f>
        <v>1096.8800000000001</v>
      </c>
      <c r="P404" s="152">
        <f>+IF(OR($Q404=Parametres!$G$2,$Q404=Parametres!$G$3),K404,E404)</f>
        <v>4280.0600000000004</v>
      </c>
      <c r="Q404" s="151" t="str">
        <f t="shared" si="29"/>
        <v>7-Dépenses</v>
      </c>
      <c r="R404" s="150" t="str">
        <f t="shared" si="29"/>
        <v>6156</v>
      </c>
      <c r="S404" s="151">
        <f t="shared" si="29"/>
        <v>0</v>
      </c>
      <c r="T404" s="153">
        <f>+VLOOKUP($L404,Data_Validation!$A:$D,1,0)</f>
        <v>6456</v>
      </c>
      <c r="U404" s="153" t="str">
        <f>+VLOOKUP($L404,Data_Validation!$A:$D,3,0)</f>
        <v>Service</v>
      </c>
      <c r="V404" s="153" t="str">
        <f>+VLOOKUP($L404,Data_Validation!$A:$D,4,0)</f>
        <v>Frais de déplacement</v>
      </c>
      <c r="W404" s="153" t="str">
        <f>+VLOOKUP($L404,Data_Validation!$A:$E,5,0)</f>
        <v>$</v>
      </c>
      <c r="X404" s="153">
        <f>+VLOOKUP($L404,Data_Validation!$A:$F,6,0)</f>
        <v>0</v>
      </c>
    </row>
    <row r="405" spans="1:24" ht="15" customHeight="1">
      <c r="A405" s="1430" t="s">
        <v>1305</v>
      </c>
      <c r="B405" s="1433">
        <v>6459</v>
      </c>
      <c r="C405" s="1432">
        <v>19856.32</v>
      </c>
      <c r="D405" s="1432">
        <v>2454.86</v>
      </c>
      <c r="E405" s="1432">
        <v>22311.18</v>
      </c>
      <c r="F405" s="1430" t="s">
        <v>398</v>
      </c>
      <c r="G405" s="1430" t="s">
        <v>2653</v>
      </c>
      <c r="H405" s="1233"/>
      <c r="I405" s="1240"/>
      <c r="J405" s="1240"/>
      <c r="K405" s="1240"/>
      <c r="L405" s="150">
        <f t="shared" si="18"/>
        <v>6459</v>
      </c>
      <c r="M405" s="151" t="str">
        <f t="shared" si="19"/>
        <v>SERVICE EXTERIEUR</v>
      </c>
      <c r="N405" s="152">
        <f>+IF(OR($Q405=Parametres!$G$2,$Q405=Parametres!$G$3),I405,C405)</f>
        <v>19856.32</v>
      </c>
      <c r="O405" s="152">
        <f>+IF(OR($Q405=Parametres!$G$2,$Q405=Parametres!$G$3),J405,D405)</f>
        <v>2454.86</v>
      </c>
      <c r="P405" s="152">
        <f>+IF(OR($Q405=Parametres!$G$2,$Q405=Parametres!$G$3),K405,E405)</f>
        <v>22311.18</v>
      </c>
      <c r="Q405" s="151" t="str">
        <f t="shared" si="29"/>
        <v>7-Dépenses</v>
      </c>
      <c r="R405" s="150" t="str">
        <f t="shared" si="29"/>
        <v>6159</v>
      </c>
      <c r="S405" s="151">
        <f t="shared" si="29"/>
        <v>0</v>
      </c>
      <c r="T405" s="153">
        <f>+VLOOKUP($L405,Data_Validation!$A:$D,1,0)</f>
        <v>6459</v>
      </c>
      <c r="U405" s="153" t="str">
        <f>+VLOOKUP($L405,Data_Validation!$A:$D,3,0)</f>
        <v>Service</v>
      </c>
      <c r="V405" s="153" t="str">
        <f>+VLOOKUP($L405,Data_Validation!$A:$D,4,0)</f>
        <v>Services extérieurs</v>
      </c>
      <c r="W405" s="153" t="str">
        <f>+VLOOKUP($L405,Data_Validation!$A:$E,5,0)</f>
        <v>$</v>
      </c>
      <c r="X405" s="153">
        <f>+VLOOKUP($L405,Data_Validation!$A:$F,6,0)</f>
        <v>0</v>
      </c>
    </row>
    <row r="406" spans="1:24" ht="15" customHeight="1">
      <c r="A406" s="1430" t="s">
        <v>1330</v>
      </c>
      <c r="B406" s="1433">
        <v>6461</v>
      </c>
      <c r="C406" s="1432">
        <v>9510</v>
      </c>
      <c r="D406" s="1432">
        <v>1035.48</v>
      </c>
      <c r="E406" s="1432">
        <v>10545.48</v>
      </c>
      <c r="F406" s="1430" t="s">
        <v>398</v>
      </c>
      <c r="G406" s="1430" t="s">
        <v>2644</v>
      </c>
      <c r="H406" s="1233"/>
      <c r="I406" s="1240"/>
      <c r="J406" s="1240"/>
      <c r="K406" s="1240"/>
      <c r="L406" s="150">
        <f t="shared" si="18"/>
        <v>6461</v>
      </c>
      <c r="M406" s="151" t="str">
        <f t="shared" si="19"/>
        <v>DEPRECIATION EQUIP. &amp; FIXTURES</v>
      </c>
      <c r="N406" s="152">
        <f>+IF(OR($Q406=Parametres!$G$2,$Q406=Parametres!$G$3),I406,C406)</f>
        <v>9510</v>
      </c>
      <c r="O406" s="152">
        <f>+IF(OR($Q406=Parametres!$G$2,$Q406=Parametres!$G$3),J406,D406)</f>
        <v>1035.48</v>
      </c>
      <c r="P406" s="152">
        <f>+IF(OR($Q406=Parametres!$G$2,$Q406=Parametres!$G$3),K406,E406)</f>
        <v>10545.48</v>
      </c>
      <c r="Q406" s="151" t="str">
        <f t="shared" si="29"/>
        <v>7-Dépenses</v>
      </c>
      <c r="R406" s="150" t="str">
        <f t="shared" si="29"/>
        <v>6161</v>
      </c>
      <c r="S406" s="151">
        <f t="shared" si="29"/>
        <v>0</v>
      </c>
      <c r="T406" s="153">
        <f>+VLOOKUP($L406,Data_Validation!$A:$D,1,0)</f>
        <v>6461</v>
      </c>
      <c r="U406" s="153" t="str">
        <f>+VLOOKUP($L406,Data_Validation!$A:$D,3,0)</f>
        <v>Service</v>
      </c>
      <c r="V406" s="153" t="str">
        <f>+VLOOKUP($L406,Data_Validation!$A:$D,4,0)</f>
        <v>Amortissement</v>
      </c>
      <c r="W406" s="153" t="str">
        <f>+VLOOKUP($L406,Data_Validation!$A:$E,5,0)</f>
        <v>$</v>
      </c>
      <c r="X406" s="153">
        <f>+VLOOKUP($L406,Data_Validation!$A:$F,6,0)</f>
        <v>0</v>
      </c>
    </row>
    <row r="407" spans="1:24" ht="15.75" customHeight="1">
      <c r="A407" s="1430" t="s">
        <v>1165</v>
      </c>
      <c r="B407" s="1433">
        <v>6463</v>
      </c>
      <c r="C407" s="1432">
        <v>9610.66</v>
      </c>
      <c r="D407" s="1432">
        <v>1516.33</v>
      </c>
      <c r="E407" s="1432">
        <v>11126.99</v>
      </c>
      <c r="F407" s="1430" t="s">
        <v>398</v>
      </c>
      <c r="G407" s="1430" t="s">
        <v>2630</v>
      </c>
      <c r="H407" s="1233"/>
      <c r="I407" s="1240"/>
      <c r="J407" s="1240"/>
      <c r="K407" s="1240"/>
      <c r="L407" s="150">
        <f t="shared" si="18"/>
        <v>6463</v>
      </c>
      <c r="M407" s="151" t="str">
        <f t="shared" si="19"/>
        <v>REPARATION &amp; ENT. - EQUIP.</v>
      </c>
      <c r="N407" s="152">
        <f>+IF(OR($Q407=Parametres!$G$2,$Q407=Parametres!$G$3),I407,C407)</f>
        <v>9610.66</v>
      </c>
      <c r="O407" s="152">
        <f>+IF(OR($Q407=Parametres!$G$2,$Q407=Parametres!$G$3),J407,D407)</f>
        <v>1516.33</v>
      </c>
      <c r="P407" s="152">
        <f>+IF(OR($Q407=Parametres!$G$2,$Q407=Parametres!$G$3),K407,E407)</f>
        <v>11126.99</v>
      </c>
      <c r="Q407" s="151" t="str">
        <f t="shared" si="29"/>
        <v>7-Dépenses</v>
      </c>
      <c r="R407" s="150" t="str">
        <f t="shared" si="29"/>
        <v>6163</v>
      </c>
      <c r="S407" s="151">
        <f t="shared" si="29"/>
        <v>0</v>
      </c>
      <c r="T407" s="153">
        <f>+VLOOKUP($L407,Data_Validation!$A:$D,1,0)</f>
        <v>6463</v>
      </c>
      <c r="U407" s="153" t="str">
        <f>+VLOOKUP($L407,Data_Validation!$A:$D,3,0)</f>
        <v>Service</v>
      </c>
      <c r="V407" s="153" t="str">
        <f>+VLOOKUP($L407,Data_Validation!$A:$D,4,0)</f>
        <v>Réparation équipement</v>
      </c>
      <c r="W407" s="153" t="str">
        <f>+VLOOKUP($L407,Data_Validation!$A:$E,5,0)</f>
        <v>$</v>
      </c>
      <c r="X407" s="153">
        <f>+VLOOKUP($L407,Data_Validation!$A:$F,6,0)</f>
        <v>0</v>
      </c>
    </row>
    <row r="408" spans="1:24" ht="15" customHeight="1">
      <c r="A408" s="1430" t="s">
        <v>1308</v>
      </c>
      <c r="B408" s="1433">
        <v>6481</v>
      </c>
      <c r="C408" s="1432">
        <v>5368.41</v>
      </c>
      <c r="D408" s="1432">
        <v>905.98</v>
      </c>
      <c r="E408" s="1432">
        <v>6274.39</v>
      </c>
      <c r="F408" s="1430" t="s">
        <v>398</v>
      </c>
      <c r="G408" s="1430" t="s">
        <v>2595</v>
      </c>
      <c r="H408" s="1233"/>
      <c r="I408" s="1240"/>
      <c r="J408" s="1240"/>
      <c r="K408" s="1240"/>
      <c r="L408" s="150">
        <f t="shared" si="18"/>
        <v>6481</v>
      </c>
      <c r="M408" s="151" t="str">
        <f t="shared" si="19"/>
        <v>CHAUFFAGE,ELECTRICITE,EAU-SERVICE</v>
      </c>
      <c r="N408" s="152">
        <f>+IF(OR($Q408=Parametres!$G$2,$Q408=Parametres!$G$3),I408,C408)</f>
        <v>5368.41</v>
      </c>
      <c r="O408" s="152">
        <f>+IF(OR($Q408=Parametres!$G$2,$Q408=Parametres!$G$3),J408,D408)</f>
        <v>905.98</v>
      </c>
      <c r="P408" s="152">
        <f>+IF(OR($Q408=Parametres!$G$2,$Q408=Parametres!$G$3),K408,E408)</f>
        <v>6274.39</v>
      </c>
      <c r="Q408" s="151" t="str">
        <f t="shared" si="29"/>
        <v>7-Dépenses</v>
      </c>
      <c r="R408" s="150" t="str">
        <f t="shared" si="29"/>
        <v>6181</v>
      </c>
      <c r="S408" s="151">
        <f t="shared" si="29"/>
        <v>0</v>
      </c>
      <c r="T408" s="153">
        <f>+VLOOKUP($L408,Data_Validation!$A:$D,1,0)</f>
        <v>6481</v>
      </c>
      <c r="U408" s="153" t="str">
        <f>+VLOOKUP($L408,Data_Validation!$A:$D,3,0)</f>
        <v>Service</v>
      </c>
      <c r="V408" s="153" t="str">
        <f>+VLOOKUP($L408,Data_Validation!$A:$D,4,0)</f>
        <v>Chauffage, éclairage</v>
      </c>
      <c r="W408" s="153" t="str">
        <f>+VLOOKUP($L408,Data_Validation!$A:$E,5,0)</f>
        <v>$</v>
      </c>
      <c r="X408" s="153">
        <f>+VLOOKUP($L408,Data_Validation!$A:$F,6,0)</f>
        <v>0</v>
      </c>
    </row>
    <row r="409" spans="1:24" ht="15" customHeight="1">
      <c r="A409" s="1430" t="s">
        <v>1449</v>
      </c>
      <c r="B409" s="1433">
        <v>6482</v>
      </c>
      <c r="C409" s="1432">
        <v>56160</v>
      </c>
      <c r="D409" s="1432">
        <v>6240</v>
      </c>
      <c r="E409" s="1432">
        <v>62400</v>
      </c>
      <c r="F409" s="1430" t="s">
        <v>398</v>
      </c>
      <c r="G409" s="1430" t="s">
        <v>2700</v>
      </c>
      <c r="H409" s="1233"/>
      <c r="I409" s="1240"/>
      <c r="J409" s="1240"/>
      <c r="K409" s="1240"/>
      <c r="L409" s="150">
        <f t="shared" si="18"/>
        <v>6482</v>
      </c>
      <c r="M409" s="151" t="str">
        <f t="shared" si="19"/>
        <v>LOYER - SERVICE</v>
      </c>
      <c r="N409" s="152">
        <f>+IF(OR($Q409=Parametres!$G$2,$Q409=Parametres!$G$3),I409,C409)</f>
        <v>56160</v>
      </c>
      <c r="O409" s="152">
        <f>+IF(OR($Q409=Parametres!$G$2,$Q409=Parametres!$G$3),J409,D409)</f>
        <v>6240</v>
      </c>
      <c r="P409" s="152">
        <f>+IF(OR($Q409=Parametres!$G$2,$Q409=Parametres!$G$3),K409,E409)</f>
        <v>62400</v>
      </c>
      <c r="Q409" s="151" t="str">
        <f t="shared" si="29"/>
        <v>7-Dépenses</v>
      </c>
      <c r="R409" s="150" t="str">
        <f t="shared" si="29"/>
        <v>6182</v>
      </c>
      <c r="S409" s="151">
        <f t="shared" si="29"/>
        <v>0</v>
      </c>
      <c r="T409" s="153">
        <f>+VLOOKUP($L409,Data_Validation!$A:$D,1,0)</f>
        <v>6482</v>
      </c>
      <c r="U409" s="153" t="str">
        <f>+VLOOKUP($L409,Data_Validation!$A:$D,3,0)</f>
        <v>Service</v>
      </c>
      <c r="V409" s="153" t="str">
        <f>+VLOOKUP($L409,Data_Validation!$A:$D,4,0)</f>
        <v>Loyer</v>
      </c>
      <c r="W409" s="153" t="str">
        <f>+VLOOKUP($L409,Data_Validation!$A:$E,5,0)</f>
        <v>$</v>
      </c>
      <c r="X409" s="153">
        <f>+VLOOKUP($L409,Data_Validation!$A:$F,6,0)</f>
        <v>0</v>
      </c>
    </row>
    <row r="410" spans="1:24" ht="15" customHeight="1">
      <c r="A410" s="1430" t="s">
        <v>1344</v>
      </c>
      <c r="B410" s="1433">
        <v>6486</v>
      </c>
      <c r="C410" s="1432">
        <v>8009.55</v>
      </c>
      <c r="D410" s="1432">
        <v>889.95</v>
      </c>
      <c r="E410" s="1432">
        <v>8899.5</v>
      </c>
      <c r="F410" s="1430" t="s">
        <v>398</v>
      </c>
      <c r="G410" s="1430" t="s">
        <v>2585</v>
      </c>
      <c r="H410" s="1233"/>
      <c r="I410" s="1240"/>
      <c r="J410" s="1240"/>
      <c r="K410" s="1240"/>
      <c r="L410" s="150">
        <f t="shared" si="18"/>
        <v>6486</v>
      </c>
      <c r="M410" s="151" t="str">
        <f t="shared" si="19"/>
        <v>ASSURANCE BATISSE &amp; AMEL.-SERVICE</v>
      </c>
      <c r="N410" s="152">
        <f>+IF(OR($Q410=Parametres!$G$2,$Q410=Parametres!$G$3),I410,C410)</f>
        <v>8009.55</v>
      </c>
      <c r="O410" s="152">
        <f>+IF(OR($Q410=Parametres!$G$2,$Q410=Parametres!$G$3),J410,D410)</f>
        <v>889.95</v>
      </c>
      <c r="P410" s="152">
        <f>+IF(OR($Q410=Parametres!$G$2,$Q410=Parametres!$G$3),K410,E410)</f>
        <v>8899.5</v>
      </c>
      <c r="Q410" s="151" t="str">
        <f t="shared" si="29"/>
        <v>7-Dépenses</v>
      </c>
      <c r="R410" s="150" t="str">
        <f t="shared" si="29"/>
        <v>6186</v>
      </c>
      <c r="S410" s="151">
        <f t="shared" si="29"/>
        <v>0</v>
      </c>
      <c r="T410" s="153">
        <f>+VLOOKUP($L410,Data_Validation!$A:$D,1,0)</f>
        <v>6486</v>
      </c>
      <c r="U410" s="153" t="str">
        <f>+VLOOKUP($L410,Data_Validation!$A:$D,3,0)</f>
        <v>Service</v>
      </c>
      <c r="V410" s="153" t="str">
        <f>+VLOOKUP($L410,Data_Validation!$A:$D,4,0)</f>
        <v>Assurances</v>
      </c>
      <c r="W410" s="153" t="str">
        <f>+VLOOKUP($L410,Data_Validation!$A:$E,5,0)</f>
        <v>$</v>
      </c>
      <c r="X410" s="153">
        <f>+VLOOKUP($L410,Data_Validation!$A:$F,6,0)</f>
        <v>0</v>
      </c>
    </row>
    <row r="411" spans="1:24" ht="15.75" customHeight="1">
      <c r="A411" s="1430" t="s">
        <v>1337</v>
      </c>
      <c r="B411" s="1433">
        <v>6487</v>
      </c>
      <c r="C411" s="1432">
        <v>10389.6</v>
      </c>
      <c r="D411" s="1432">
        <v>1154.4000000000001</v>
      </c>
      <c r="E411" s="1432">
        <v>11544</v>
      </c>
      <c r="F411" s="1430" t="s">
        <v>398</v>
      </c>
      <c r="G411" s="1430" t="s">
        <v>2605</v>
      </c>
      <c r="H411" s="1233"/>
      <c r="I411" s="1240"/>
      <c r="J411" s="1240"/>
      <c r="K411" s="1240"/>
      <c r="L411" s="150">
        <f t="shared" si="18"/>
        <v>6487</v>
      </c>
      <c r="M411" s="151" t="str">
        <f t="shared" si="19"/>
        <v>TAXES FONCIERES - SERVICE</v>
      </c>
      <c r="N411" s="152">
        <f>+IF(OR($Q411=Parametres!$G$2,$Q411=Parametres!$G$3),I411,C411)</f>
        <v>10389.6</v>
      </c>
      <c r="O411" s="152">
        <f>+IF(OR($Q411=Parametres!$G$2,$Q411=Parametres!$G$3),J411,D411)</f>
        <v>1154.4000000000001</v>
      </c>
      <c r="P411" s="152">
        <f>+IF(OR($Q411=Parametres!$G$2,$Q411=Parametres!$G$3),K411,E411)</f>
        <v>11544</v>
      </c>
      <c r="Q411" s="151" t="str">
        <f t="shared" si="29"/>
        <v>7-Dépenses</v>
      </c>
      <c r="R411" s="150" t="str">
        <f t="shared" si="29"/>
        <v>6187</v>
      </c>
      <c r="S411" s="151">
        <f t="shared" si="29"/>
        <v>0</v>
      </c>
      <c r="T411" s="153">
        <f>+VLOOKUP($L411,Data_Validation!$A:$D,1,0)</f>
        <v>6487</v>
      </c>
      <c r="U411" s="153" t="str">
        <f>+VLOOKUP($L411,Data_Validation!$A:$D,3,0)</f>
        <v>Service</v>
      </c>
      <c r="V411" s="153" t="str">
        <f>+VLOOKUP($L411,Data_Validation!$A:$D,4,0)</f>
        <v>Taxes foncières</v>
      </c>
      <c r="W411" s="153" t="str">
        <f>+VLOOKUP($L411,Data_Validation!$A:$E,5,0)</f>
        <v>$</v>
      </c>
      <c r="X411" s="153">
        <f>+VLOOKUP($L411,Data_Validation!$A:$F,6,0)</f>
        <v>0</v>
      </c>
    </row>
    <row r="412" spans="1:24" ht="15" customHeight="1">
      <c r="A412" s="1430" t="s">
        <v>1271</v>
      </c>
      <c r="B412" s="1433">
        <v>6493</v>
      </c>
      <c r="C412" s="1432">
        <v>6912</v>
      </c>
      <c r="D412" s="1432">
        <v>768</v>
      </c>
      <c r="E412" s="1432">
        <v>7680</v>
      </c>
      <c r="F412" s="1430" t="s">
        <v>398</v>
      </c>
      <c r="G412" s="1430" t="s">
        <v>2588</v>
      </c>
      <c r="H412" s="1233"/>
      <c r="I412" s="1240"/>
      <c r="J412" s="1240"/>
      <c r="K412" s="1240"/>
      <c r="L412" s="150">
        <f t="shared" si="18"/>
        <v>6493</v>
      </c>
      <c r="M412" s="151" t="str">
        <f t="shared" si="19"/>
        <v>AUTRE TAXES-SERVICE</v>
      </c>
      <c r="N412" s="152">
        <f>+IF(OR($Q412=Parametres!$G$2,$Q412=Parametres!$G$3),I412,C412)</f>
        <v>6912</v>
      </c>
      <c r="O412" s="152">
        <f>+IF(OR($Q412=Parametres!$G$2,$Q412=Parametres!$G$3),J412,D412)</f>
        <v>768</v>
      </c>
      <c r="P412" s="152">
        <f>+IF(OR($Q412=Parametres!$G$2,$Q412=Parametres!$G$3),K412,E412)</f>
        <v>7680</v>
      </c>
      <c r="Q412" s="151" t="str">
        <f t="shared" si="29"/>
        <v>7-Dépenses</v>
      </c>
      <c r="R412" s="150" t="str">
        <f t="shared" si="29"/>
        <v>6193</v>
      </c>
      <c r="S412" s="151">
        <f t="shared" si="29"/>
        <v>0</v>
      </c>
      <c r="T412" s="153">
        <f>+VLOOKUP($L412,Data_Validation!$A:$D,1,0)</f>
        <v>6493</v>
      </c>
      <c r="U412" s="153" t="str">
        <f>+VLOOKUP($L412,Data_Validation!$A:$D,3,0)</f>
        <v>Service</v>
      </c>
      <c r="V412" s="153" t="str">
        <f>+VLOOKUP($L412,Data_Validation!$A:$D,4,0)</f>
        <v>Taxes d`affaires</v>
      </c>
      <c r="W412" s="153" t="str">
        <f>+VLOOKUP($L412,Data_Validation!$A:$E,5,0)</f>
        <v>$</v>
      </c>
      <c r="X412" s="153">
        <f>+VLOOKUP($L412,Data_Validation!$A:$F,6,0)</f>
        <v>0</v>
      </c>
    </row>
    <row r="413" spans="1:24" ht="15" customHeight="1">
      <c r="A413" s="1430" t="s">
        <v>1364</v>
      </c>
      <c r="B413" s="1433">
        <v>6494</v>
      </c>
      <c r="C413" s="1432">
        <v>14525.2</v>
      </c>
      <c r="D413" s="1432">
        <v>1492.1</v>
      </c>
      <c r="E413" s="1432">
        <v>16017.3</v>
      </c>
      <c r="F413" s="1430" t="s">
        <v>398</v>
      </c>
      <c r="G413" s="1430" t="s">
        <v>2626</v>
      </c>
      <c r="H413" s="1233"/>
      <c r="I413" s="1240"/>
      <c r="J413" s="1240"/>
      <c r="K413" s="1240"/>
      <c r="L413" s="150">
        <f t="shared" si="18"/>
        <v>6494</v>
      </c>
      <c r="M413" s="151" t="str">
        <f t="shared" si="19"/>
        <v>FRAIS PROFESSIONNEL-SERVICE</v>
      </c>
      <c r="N413" s="152">
        <f>+IF(OR($Q413=Parametres!$G$2,$Q413=Parametres!$G$3),I413,C413)</f>
        <v>14525.2</v>
      </c>
      <c r="O413" s="152">
        <f>+IF(OR($Q413=Parametres!$G$2,$Q413=Parametres!$G$3),J413,D413)</f>
        <v>1492.1</v>
      </c>
      <c r="P413" s="152">
        <f>+IF(OR($Q413=Parametres!$G$2,$Q413=Parametres!$G$3),K413,E413)</f>
        <v>16017.3</v>
      </c>
      <c r="Q413" s="151" t="str">
        <f t="shared" si="29"/>
        <v>7-Dépenses</v>
      </c>
      <c r="R413" s="150" t="str">
        <f t="shared" si="29"/>
        <v>6194</v>
      </c>
      <c r="S413" s="151">
        <f t="shared" si="29"/>
        <v>0</v>
      </c>
      <c r="T413" s="153">
        <f>+VLOOKUP($L413,Data_Validation!$A:$D,1,0)</f>
        <v>6494</v>
      </c>
      <c r="U413" s="153" t="str">
        <f>+VLOOKUP($L413,Data_Validation!$A:$D,3,0)</f>
        <v>Service</v>
      </c>
      <c r="V413" s="153" t="str">
        <f>+VLOOKUP($L413,Data_Validation!$A:$D,4,0)</f>
        <v>Honoraires</v>
      </c>
      <c r="W413" s="153" t="str">
        <f>+VLOOKUP($L413,Data_Validation!$A:$E,5,0)</f>
        <v>$</v>
      </c>
      <c r="X413" s="153">
        <f>+VLOOKUP($L413,Data_Validation!$A:$F,6,0)</f>
        <v>0</v>
      </c>
    </row>
    <row r="414" spans="1:24" ht="15" customHeight="1">
      <c r="A414" s="1430" t="s">
        <v>396</v>
      </c>
      <c r="B414" s="1433">
        <v>6503</v>
      </c>
      <c r="C414" s="1432">
        <v>1741.17</v>
      </c>
      <c r="D414" s="1432">
        <v>858.64</v>
      </c>
      <c r="E414" s="1432">
        <v>2599.81</v>
      </c>
      <c r="F414" s="1430" t="s">
        <v>398</v>
      </c>
      <c r="G414" s="1430" t="s">
        <v>2458</v>
      </c>
      <c r="H414" s="1233"/>
      <c r="I414" s="1240"/>
      <c r="J414" s="1240"/>
      <c r="K414" s="1240"/>
      <c r="L414" s="150">
        <f t="shared" si="18"/>
        <v>6503</v>
      </c>
      <c r="M414" s="151" t="str">
        <f t="shared" si="19"/>
        <v>RELAT. A LA CLIENTELE &amp; AJUST.</v>
      </c>
      <c r="N414" s="152">
        <f>+IF(OR($Q414=Parametres!$G$2,$Q414=Parametres!$G$3),I414,C414)</f>
        <v>1741.17</v>
      </c>
      <c r="O414" s="152">
        <f>+IF(OR($Q414=Parametres!$G$2,$Q414=Parametres!$G$3),J414,D414)</f>
        <v>858.64</v>
      </c>
      <c r="P414" s="152">
        <f>+IF(OR($Q414=Parametres!$G$2,$Q414=Parametres!$G$3),K414,E414)</f>
        <v>2599.81</v>
      </c>
      <c r="Q414" s="151" t="str">
        <f t="shared" si="29"/>
        <v>7-Dépenses</v>
      </c>
      <c r="R414" s="150" t="str">
        <f t="shared" si="29"/>
        <v>6112</v>
      </c>
      <c r="S414" s="151">
        <f t="shared" si="29"/>
        <v>0</v>
      </c>
      <c r="T414" s="153">
        <f>+VLOOKUP($L414,Data_Validation!$A:$D,1,0)</f>
        <v>6503</v>
      </c>
      <c r="U414" s="153" t="str">
        <f>+VLOOKUP($L414,Data_Validation!$A:$D,3,0)</f>
        <v>Carrosserie</v>
      </c>
      <c r="V414" s="153" t="str">
        <f>+VLOOKUP($L414,Data_Validation!$A:$D,4,0)</f>
        <v>Service gratuit 2</v>
      </c>
      <c r="W414" s="153" t="str">
        <f>+VLOOKUP($L414,Data_Validation!$A:$E,5,0)</f>
        <v>$</v>
      </c>
      <c r="X414" s="153">
        <f>+VLOOKUP($L414,Data_Validation!$A:$F,6,0)</f>
        <v>0</v>
      </c>
    </row>
    <row r="415" spans="1:24" ht="15.75" customHeight="1">
      <c r="A415" s="1430" t="s">
        <v>1371</v>
      </c>
      <c r="B415" s="1433">
        <v>6514</v>
      </c>
      <c r="C415" s="1432">
        <v>104.9</v>
      </c>
      <c r="D415" s="1432">
        <v>58.5</v>
      </c>
      <c r="E415" s="1432">
        <v>163.4</v>
      </c>
      <c r="F415" s="1430" t="s">
        <v>398</v>
      </c>
      <c r="G415" s="1430" t="s">
        <v>2106</v>
      </c>
      <c r="H415" s="1233"/>
      <c r="I415" s="1240"/>
      <c r="J415" s="1240"/>
      <c r="K415" s="1240"/>
      <c r="L415" s="150">
        <f t="shared" si="18"/>
        <v>6514</v>
      </c>
      <c r="M415" s="151" t="str">
        <f t="shared" si="19"/>
        <v>PUBLICITE</v>
      </c>
      <c r="N415" s="152">
        <f>+IF(OR($Q415=Parametres!$G$2,$Q415=Parametres!$G$3),I415,C415)</f>
        <v>104.9</v>
      </c>
      <c r="O415" s="152">
        <f>+IF(OR($Q415=Parametres!$G$2,$Q415=Parametres!$G$3),J415,D415)</f>
        <v>58.5</v>
      </c>
      <c r="P415" s="152">
        <f>+IF(OR($Q415=Parametres!$G$2,$Q415=Parametres!$G$3),K415,E415)</f>
        <v>163.4</v>
      </c>
      <c r="Q415" s="151" t="str">
        <f t="shared" si="29"/>
        <v>7-Dépenses</v>
      </c>
      <c r="R415" s="150" t="str">
        <f t="shared" si="29"/>
        <v>6114</v>
      </c>
      <c r="S415" s="151">
        <f t="shared" si="29"/>
        <v>0</v>
      </c>
      <c r="T415" s="153">
        <f>+VLOOKUP($L415,Data_Validation!$A:$D,1,0)</f>
        <v>6514</v>
      </c>
      <c r="U415" s="153" t="str">
        <f>+VLOOKUP($L415,Data_Validation!$A:$D,3,0)</f>
        <v>Carrosserie</v>
      </c>
      <c r="V415" s="153" t="str">
        <f>+VLOOKUP($L415,Data_Validation!$A:$D,4,0)</f>
        <v>Publicité 2</v>
      </c>
      <c r="W415" s="153" t="str">
        <f>+VLOOKUP($L415,Data_Validation!$A:$E,5,0)</f>
        <v>$</v>
      </c>
      <c r="X415" s="153">
        <f>+VLOOKUP($L415,Data_Validation!$A:$F,6,0)</f>
        <v>0</v>
      </c>
    </row>
    <row r="416" spans="1:24" ht="15" customHeight="1">
      <c r="A416" s="1430" t="s">
        <v>1256</v>
      </c>
      <c r="B416" s="1433">
        <v>6521</v>
      </c>
      <c r="C416" s="1432">
        <v>2253.62</v>
      </c>
      <c r="D416" s="1432">
        <v>937.59</v>
      </c>
      <c r="E416" s="1432">
        <v>3191.21</v>
      </c>
      <c r="F416" s="1430" t="s">
        <v>398</v>
      </c>
      <c r="G416" s="1430" t="s">
        <v>2639</v>
      </c>
      <c r="H416" s="1233"/>
      <c r="I416" s="1240"/>
      <c r="J416" s="1240"/>
      <c r="K416" s="1240"/>
      <c r="L416" s="150">
        <f t="shared" si="18"/>
        <v>6521</v>
      </c>
      <c r="M416" s="151" t="str">
        <f t="shared" si="19"/>
        <v>SALAIRES - PROPRIETAIRES</v>
      </c>
      <c r="N416" s="152">
        <f>+IF(OR($Q416=Parametres!$G$2,$Q416=Parametres!$G$3),I416,C416)</f>
        <v>2253.62</v>
      </c>
      <c r="O416" s="152">
        <f>+IF(OR($Q416=Parametres!$G$2,$Q416=Parametres!$G$3),J416,D416)</f>
        <v>937.59</v>
      </c>
      <c r="P416" s="152">
        <f>+IF(OR($Q416=Parametres!$G$2,$Q416=Parametres!$G$3),K416,E416)</f>
        <v>3191.21</v>
      </c>
      <c r="Q416" s="151" t="str">
        <f t="shared" si="29"/>
        <v>7-Dépenses</v>
      </c>
      <c r="R416" s="150" t="str">
        <f t="shared" si="29"/>
        <v>6121</v>
      </c>
      <c r="S416" s="151">
        <f t="shared" si="29"/>
        <v>0</v>
      </c>
      <c r="T416" s="153">
        <f>+VLOOKUP($L416,Data_Validation!$A:$D,1,0)</f>
        <v>6521</v>
      </c>
      <c r="U416" s="153" t="str">
        <f>+VLOOKUP($L416,Data_Validation!$A:$D,3,0)</f>
        <v>Carrosserie</v>
      </c>
      <c r="V416" s="153" t="str">
        <f>+VLOOKUP($L416,Data_Validation!$A:$D,4,0)</f>
        <v>Salaires propriétaire</v>
      </c>
      <c r="W416" s="153" t="str">
        <f>+VLOOKUP($L416,Data_Validation!$A:$E,5,0)</f>
        <v>$</v>
      </c>
      <c r="X416" s="153">
        <f>+VLOOKUP($L416,Data_Validation!$A:$F,6,0)</f>
        <v>0</v>
      </c>
    </row>
    <row r="417" spans="1:24" ht="15" customHeight="1">
      <c r="A417" s="1430" t="s">
        <v>2615</v>
      </c>
      <c r="B417" s="1433">
        <v>6522</v>
      </c>
      <c r="C417" s="1432">
        <v>7682.08</v>
      </c>
      <c r="D417" s="1432">
        <v>809.12</v>
      </c>
      <c r="E417" s="1432">
        <v>8491.2000000000007</v>
      </c>
      <c r="F417" s="1430" t="s">
        <v>398</v>
      </c>
      <c r="G417" s="1430" t="s">
        <v>2617</v>
      </c>
      <c r="H417" s="1233"/>
      <c r="I417" s="1240"/>
      <c r="J417" s="1240"/>
      <c r="K417" s="1240"/>
      <c r="L417" s="150">
        <f t="shared" si="18"/>
        <v>6522</v>
      </c>
      <c r="M417" s="151" t="str">
        <f t="shared" si="19"/>
        <v>SAL SUPERVISION / GERANT</v>
      </c>
      <c r="N417" s="152">
        <f>+IF(OR($Q417=Parametres!$G$2,$Q417=Parametres!$G$3),I417,C417)</f>
        <v>7682.08</v>
      </c>
      <c r="O417" s="152">
        <f>+IF(OR($Q417=Parametres!$G$2,$Q417=Parametres!$G$3),J417,D417)</f>
        <v>809.12</v>
      </c>
      <c r="P417" s="152">
        <f>+IF(OR($Q417=Parametres!$G$2,$Q417=Parametres!$G$3),K417,E417)</f>
        <v>8491.2000000000007</v>
      </c>
      <c r="Q417" s="151" t="str">
        <f t="shared" si="29"/>
        <v>7-Dépenses</v>
      </c>
      <c r="R417" s="150" t="str">
        <f t="shared" si="29"/>
        <v>6122</v>
      </c>
      <c r="S417" s="151">
        <f t="shared" si="29"/>
        <v>0</v>
      </c>
      <c r="T417" s="153">
        <f>+VLOOKUP($L417,Data_Validation!$A:$D,1,0)</f>
        <v>6522</v>
      </c>
      <c r="U417" s="153" t="str">
        <f>+VLOOKUP($L417,Data_Validation!$A:$D,3,0)</f>
        <v>Carrosserie</v>
      </c>
      <c r="V417" s="153" t="str">
        <f>+VLOOKUP($L417,Data_Validation!$A:$D,4,0)</f>
        <v>Salaires cadres</v>
      </c>
      <c r="W417" s="153" t="str">
        <f>+VLOOKUP($L417,Data_Validation!$A:$E,5,0)</f>
        <v>$</v>
      </c>
      <c r="X417" s="153">
        <f>+VLOOKUP($L417,Data_Validation!$A:$F,6,0)</f>
        <v>0</v>
      </c>
    </row>
    <row r="418" spans="1:24" ht="15" customHeight="1">
      <c r="A418" s="1430" t="s">
        <v>1263</v>
      </c>
      <c r="B418" s="1433">
        <v>6523</v>
      </c>
      <c r="C418" s="1432">
        <v>5242.78</v>
      </c>
      <c r="D418" s="1432">
        <v>510.52</v>
      </c>
      <c r="E418" s="1432">
        <v>5753.3</v>
      </c>
      <c r="F418" s="1430" t="s">
        <v>398</v>
      </c>
      <c r="G418" s="1430" t="s">
        <v>2670</v>
      </c>
      <c r="H418" s="1233"/>
      <c r="I418" s="1240"/>
      <c r="J418" s="1240"/>
      <c r="K418" s="1240"/>
      <c r="L418" s="150">
        <f t="shared" si="18"/>
        <v>6523</v>
      </c>
      <c r="M418" s="151" t="str">
        <f t="shared" si="19"/>
        <v>SAL. &amp; RENUM. CLERICAL</v>
      </c>
      <c r="N418" s="152">
        <f>+IF(OR($Q418=Parametres!$G$2,$Q418=Parametres!$G$3),I418,C418)</f>
        <v>5242.78</v>
      </c>
      <c r="O418" s="152">
        <f>+IF(OR($Q418=Parametres!$G$2,$Q418=Parametres!$G$3),J418,D418)</f>
        <v>510.52</v>
      </c>
      <c r="P418" s="152">
        <f>+IF(OR($Q418=Parametres!$G$2,$Q418=Parametres!$G$3),K418,E418)</f>
        <v>5753.3</v>
      </c>
      <c r="Q418" s="151" t="str">
        <f t="shared" ref="Q418:S433" si="30">+F418</f>
        <v>7-Dépenses</v>
      </c>
      <c r="R418" s="150" t="str">
        <f t="shared" si="30"/>
        <v>6123</v>
      </c>
      <c r="S418" s="151">
        <f t="shared" si="30"/>
        <v>0</v>
      </c>
      <c r="T418" s="153">
        <f>+VLOOKUP($L418,Data_Validation!$A:$D,1,0)</f>
        <v>6523</v>
      </c>
      <c r="U418" s="153" t="str">
        <f>+VLOOKUP($L418,Data_Validation!$A:$D,3,0)</f>
        <v>Carrosserie</v>
      </c>
      <c r="V418" s="153" t="str">
        <f>+VLOOKUP($L418,Data_Validation!$A:$D,4,0)</f>
        <v>Salaires commis</v>
      </c>
      <c r="W418" s="153" t="str">
        <f>+VLOOKUP($L418,Data_Validation!$A:$E,5,0)</f>
        <v>$</v>
      </c>
      <c r="X418" s="153">
        <f>+VLOOKUP($L418,Data_Validation!$A:$F,6,0)</f>
        <v>0</v>
      </c>
    </row>
    <row r="419" spans="1:24" ht="15.75" customHeight="1">
      <c r="A419" s="1430" t="s">
        <v>1246</v>
      </c>
      <c r="B419" s="1433">
        <v>6524</v>
      </c>
      <c r="C419" s="1432">
        <v>32206.48</v>
      </c>
      <c r="D419" s="1432">
        <v>3575.35</v>
      </c>
      <c r="E419" s="1432">
        <v>35781.83</v>
      </c>
      <c r="F419" s="1430" t="s">
        <v>398</v>
      </c>
      <c r="G419" s="1430" t="s">
        <v>2726</v>
      </c>
      <c r="H419" s="1233"/>
      <c r="I419" s="1240"/>
      <c r="J419" s="1240"/>
      <c r="K419" s="1240"/>
      <c r="L419" s="150">
        <f t="shared" si="18"/>
        <v>6524</v>
      </c>
      <c r="M419" s="151" t="str">
        <f t="shared" si="19"/>
        <v>SALAIRES &amp; RENUM. - AUTRES</v>
      </c>
      <c r="N419" s="152">
        <f>+IF(OR($Q419=Parametres!$G$2,$Q419=Parametres!$G$3),I419,C419)</f>
        <v>32206.48</v>
      </c>
      <c r="O419" s="152">
        <f>+IF(OR($Q419=Parametres!$G$2,$Q419=Parametres!$G$3),J419,D419)</f>
        <v>3575.35</v>
      </c>
      <c r="P419" s="152">
        <f>+IF(OR($Q419=Parametres!$G$2,$Q419=Parametres!$G$3),K419,E419)</f>
        <v>35781.83</v>
      </c>
      <c r="Q419" s="151" t="str">
        <f t="shared" si="30"/>
        <v>7-Dépenses</v>
      </c>
      <c r="R419" s="150" t="str">
        <f t="shared" si="30"/>
        <v>6124</v>
      </c>
      <c r="S419" s="151">
        <f t="shared" si="30"/>
        <v>0</v>
      </c>
      <c r="T419" s="153">
        <f>+VLOOKUP($L419,Data_Validation!$A:$D,1,0)</f>
        <v>6524</v>
      </c>
      <c r="U419" s="153" t="str">
        <f>+VLOOKUP($L419,Data_Validation!$A:$D,3,0)</f>
        <v>Carrosserie</v>
      </c>
      <c r="V419" s="153" t="str">
        <f>+VLOOKUP($L419,Data_Validation!$A:$D,4,0)</f>
        <v>Salaires autres</v>
      </c>
      <c r="W419" s="153" t="str">
        <f>+VLOOKUP($L419,Data_Validation!$A:$E,5,0)</f>
        <v>$</v>
      </c>
      <c r="X419" s="153">
        <f>+VLOOKUP($L419,Data_Validation!$A:$F,6,0)</f>
        <v>0</v>
      </c>
    </row>
    <row r="420" spans="1:24" ht="15.75" customHeight="1">
      <c r="A420" s="1430" t="s">
        <v>1327</v>
      </c>
      <c r="B420" s="1433">
        <v>6525</v>
      </c>
      <c r="C420" s="1432">
        <v>21496.41</v>
      </c>
      <c r="D420" s="1432">
        <v>2423.11</v>
      </c>
      <c r="E420" s="1432">
        <v>23919.52</v>
      </c>
      <c r="F420" s="1430" t="s">
        <v>398</v>
      </c>
      <c r="G420" s="1430" t="s">
        <v>2712</v>
      </c>
      <c r="H420" s="1233"/>
      <c r="I420" s="1240"/>
      <c r="J420" s="1240"/>
      <c r="K420" s="1240"/>
      <c r="L420" s="150">
        <f t="shared" si="18"/>
        <v>6525</v>
      </c>
      <c r="M420" s="151" t="str">
        <f t="shared" si="19"/>
        <v>SALAIRE SPECIALISTES</v>
      </c>
      <c r="N420" s="152">
        <f>+IF(OR($Q420=Parametres!$G$2,$Q420=Parametres!$G$3),I420,C420)</f>
        <v>21496.41</v>
      </c>
      <c r="O420" s="152">
        <f>+IF(OR($Q420=Parametres!$G$2,$Q420=Parametres!$G$3),J420,D420)</f>
        <v>2423.11</v>
      </c>
      <c r="P420" s="152">
        <f>+IF(OR($Q420=Parametres!$G$2,$Q420=Parametres!$G$3),K420,E420)</f>
        <v>23919.52</v>
      </c>
      <c r="Q420" s="151" t="str">
        <f t="shared" si="30"/>
        <v>7-Dépenses</v>
      </c>
      <c r="R420" s="150" t="str">
        <f t="shared" si="30"/>
        <v>6125</v>
      </c>
      <c r="S420" s="151">
        <f t="shared" si="30"/>
        <v>0</v>
      </c>
      <c r="T420" s="153">
        <f>+VLOOKUP($L420,Data_Validation!$A:$D,1,0)</f>
        <v>6525</v>
      </c>
      <c r="U420" s="153" t="str">
        <f>+VLOOKUP($L420,Data_Validation!$A:$D,3,0)</f>
        <v>Carrosserie</v>
      </c>
      <c r="V420" s="153" t="str">
        <f>+VLOOKUP($L420,Data_Validation!$A:$D,4,0)</f>
        <v>Salaires spécialistes</v>
      </c>
      <c r="W420" s="153" t="str">
        <f>+VLOOKUP($L420,Data_Validation!$A:$E,5,0)</f>
        <v>$</v>
      </c>
      <c r="X420" s="153">
        <f>+VLOOKUP($L420,Data_Validation!$A:$F,6,0)</f>
        <v>0</v>
      </c>
    </row>
    <row r="421" spans="1:24" ht="15" customHeight="1">
      <c r="A421" s="1430" t="s">
        <v>1208</v>
      </c>
      <c r="B421" s="1433">
        <v>6529</v>
      </c>
      <c r="C421" s="1432">
        <v>4234.72</v>
      </c>
      <c r="D421" s="1432">
        <v>287.33</v>
      </c>
      <c r="E421" s="1432">
        <v>4522.05</v>
      </c>
      <c r="F421" s="1430" t="s">
        <v>398</v>
      </c>
      <c r="G421" s="1430" t="s">
        <v>2632</v>
      </c>
      <c r="H421" s="1233"/>
      <c r="I421" s="1240"/>
      <c r="J421" s="1240"/>
      <c r="K421" s="1240"/>
      <c r="L421" s="150">
        <f t="shared" si="18"/>
        <v>6529</v>
      </c>
      <c r="M421" s="151" t="str">
        <f t="shared" si="19"/>
        <v>ABS.,VACANCES &amp; SAL. JOURS FER</v>
      </c>
      <c r="N421" s="152">
        <f>+IF(OR($Q421=Parametres!$G$2,$Q421=Parametres!$G$3),I421,C421)</f>
        <v>4234.72</v>
      </c>
      <c r="O421" s="152">
        <f>+IF(OR($Q421=Parametres!$G$2,$Q421=Parametres!$G$3),J421,D421)</f>
        <v>287.33</v>
      </c>
      <c r="P421" s="152">
        <f>+IF(OR($Q421=Parametres!$G$2,$Q421=Parametres!$G$3),K421,E421)</f>
        <v>4522.05</v>
      </c>
      <c r="Q421" s="151" t="str">
        <f t="shared" si="30"/>
        <v>7-Dépenses</v>
      </c>
      <c r="R421" s="150" t="str">
        <f t="shared" si="30"/>
        <v>6129</v>
      </c>
      <c r="S421" s="151">
        <f t="shared" si="30"/>
        <v>0</v>
      </c>
      <c r="T421" s="153">
        <f>+VLOOKUP($L421,Data_Validation!$A:$D,1,0)</f>
        <v>6529</v>
      </c>
      <c r="U421" s="153" t="str">
        <f>+VLOOKUP($L421,Data_Validation!$A:$D,3,0)</f>
        <v>Carrosserie</v>
      </c>
      <c r="V421" s="153" t="str">
        <f>+VLOOKUP($L421,Data_Validation!$A:$D,4,0)</f>
        <v>Salaires en absences</v>
      </c>
      <c r="W421" s="153" t="str">
        <f>+VLOOKUP($L421,Data_Validation!$A:$E,5,0)</f>
        <v>$</v>
      </c>
      <c r="X421" s="153">
        <f>+VLOOKUP($L421,Data_Validation!$A:$F,6,0)</f>
        <v>0</v>
      </c>
    </row>
    <row r="422" spans="1:24" ht="15" customHeight="1">
      <c r="A422" s="1430" t="s">
        <v>1249</v>
      </c>
      <c r="B422" s="1433">
        <v>6531</v>
      </c>
      <c r="C422" s="1432">
        <v>1260.73</v>
      </c>
      <c r="D422" s="1432">
        <v>111.63</v>
      </c>
      <c r="E422" s="1432">
        <v>1372.36</v>
      </c>
      <c r="F422" s="1430" t="s">
        <v>398</v>
      </c>
      <c r="G422" s="1430" t="s">
        <v>2577</v>
      </c>
      <c r="H422" s="1233"/>
      <c r="I422" s="1240"/>
      <c r="J422" s="1240"/>
      <c r="K422" s="1240"/>
      <c r="L422" s="150">
        <f t="shared" si="18"/>
        <v>6531</v>
      </c>
      <c r="M422" s="151" t="str">
        <f t="shared" si="19"/>
        <v>CSST</v>
      </c>
      <c r="N422" s="152">
        <f>+IF(OR($Q422=Parametres!$G$2,$Q422=Parametres!$G$3),I422,C422)</f>
        <v>1260.73</v>
      </c>
      <c r="O422" s="152">
        <f>+IF(OR($Q422=Parametres!$G$2,$Q422=Parametres!$G$3),J422,D422)</f>
        <v>111.63</v>
      </c>
      <c r="P422" s="152">
        <f>+IF(OR($Q422=Parametres!$G$2,$Q422=Parametres!$G$3),K422,E422)</f>
        <v>1372.36</v>
      </c>
      <c r="Q422" s="151" t="str">
        <f t="shared" si="30"/>
        <v>7-Dépenses</v>
      </c>
      <c r="R422" s="150" t="str">
        <f t="shared" si="30"/>
        <v>6131</v>
      </c>
      <c r="S422" s="151">
        <f t="shared" si="30"/>
        <v>0</v>
      </c>
      <c r="T422" s="153">
        <f>+VLOOKUP($L422,Data_Validation!$A:$D,1,0)</f>
        <v>6531</v>
      </c>
      <c r="U422" s="153" t="str">
        <f>+VLOOKUP($L422,Data_Validation!$A:$D,3,0)</f>
        <v>Carrosserie</v>
      </c>
      <c r="V422" s="153" t="str">
        <f>+VLOOKUP($L422,Data_Validation!$A:$D,4,0)</f>
        <v>Csst</v>
      </c>
      <c r="W422" s="153" t="str">
        <f>+VLOOKUP($L422,Data_Validation!$A:$E,5,0)</f>
        <v>$</v>
      </c>
      <c r="X422" s="153">
        <f>+VLOOKUP($L422,Data_Validation!$A:$F,6,0)</f>
        <v>0</v>
      </c>
    </row>
    <row r="423" spans="1:24" ht="15" customHeight="1">
      <c r="A423" s="1430" t="s">
        <v>1280</v>
      </c>
      <c r="B423" s="1433">
        <v>6532</v>
      </c>
      <c r="C423" s="1432">
        <v>7564.31</v>
      </c>
      <c r="D423" s="1432">
        <v>669.77</v>
      </c>
      <c r="E423" s="1432">
        <v>8234.08</v>
      </c>
      <c r="F423" s="1430" t="s">
        <v>398</v>
      </c>
      <c r="G423" s="1430" t="s">
        <v>2676</v>
      </c>
      <c r="H423" s="1233"/>
      <c r="I423" s="1240"/>
      <c r="J423" s="1240"/>
      <c r="K423" s="1240"/>
      <c r="L423" s="150">
        <f t="shared" si="18"/>
        <v>6532</v>
      </c>
      <c r="M423" s="151" t="str">
        <f t="shared" si="19"/>
        <v>RRQ RAMQ AC</v>
      </c>
      <c r="N423" s="152">
        <f>+IF(OR($Q423=Parametres!$G$2,$Q423=Parametres!$G$3),I423,C423)</f>
        <v>7564.31</v>
      </c>
      <c r="O423" s="152">
        <f>+IF(OR($Q423=Parametres!$G$2,$Q423=Parametres!$G$3),J423,D423)</f>
        <v>669.77</v>
      </c>
      <c r="P423" s="152">
        <f>+IF(OR($Q423=Parametres!$G$2,$Q423=Parametres!$G$3),K423,E423)</f>
        <v>8234.08</v>
      </c>
      <c r="Q423" s="151" t="str">
        <f t="shared" si="30"/>
        <v>7-Dépenses</v>
      </c>
      <c r="R423" s="150" t="str">
        <f t="shared" si="30"/>
        <v>6132</v>
      </c>
      <c r="S423" s="151">
        <f t="shared" si="30"/>
        <v>0</v>
      </c>
      <c r="T423" s="153">
        <f>+VLOOKUP($L423,Data_Validation!$A:$D,1,0)</f>
        <v>6532</v>
      </c>
      <c r="U423" s="153" t="str">
        <f>+VLOOKUP($L423,Data_Validation!$A:$D,3,0)</f>
        <v>Carrosserie</v>
      </c>
      <c r="V423" s="153" t="str">
        <f>+VLOOKUP($L423,Data_Validation!$A:$D,4,0)</f>
        <v>Déduction à la source</v>
      </c>
      <c r="W423" s="153" t="str">
        <f>+VLOOKUP($L423,Data_Validation!$A:$E,5,0)</f>
        <v>$</v>
      </c>
      <c r="X423" s="153">
        <f>+VLOOKUP($L423,Data_Validation!$A:$F,6,0)</f>
        <v>0</v>
      </c>
    </row>
    <row r="424" spans="1:24" ht="15" customHeight="1">
      <c r="A424" s="1430" t="s">
        <v>1302</v>
      </c>
      <c r="B424" s="1433">
        <v>6539</v>
      </c>
      <c r="C424" s="1432">
        <v>5421.09</v>
      </c>
      <c r="D424" s="1432">
        <v>480</v>
      </c>
      <c r="E424" s="1432">
        <v>5901.09</v>
      </c>
      <c r="F424" s="1430" t="s">
        <v>398</v>
      </c>
      <c r="G424" s="1430" t="s">
        <v>2685</v>
      </c>
      <c r="H424" s="1233"/>
      <c r="I424" s="1240"/>
      <c r="J424" s="1240"/>
      <c r="K424" s="1240"/>
      <c r="L424" s="150">
        <f t="shared" si="18"/>
        <v>6539</v>
      </c>
      <c r="M424" s="151" t="str">
        <f t="shared" si="19"/>
        <v>ASSURANCE GROUPE</v>
      </c>
      <c r="N424" s="152">
        <f>+IF(OR($Q424=Parametres!$G$2,$Q424=Parametres!$G$3),I424,C424)</f>
        <v>5421.09</v>
      </c>
      <c r="O424" s="152">
        <f>+IF(OR($Q424=Parametres!$G$2,$Q424=Parametres!$G$3),J424,D424)</f>
        <v>480</v>
      </c>
      <c r="P424" s="152">
        <f>+IF(OR($Q424=Parametres!$G$2,$Q424=Parametres!$G$3),K424,E424)</f>
        <v>5901.09</v>
      </c>
      <c r="Q424" s="151" t="str">
        <f t="shared" si="30"/>
        <v>7-Dépenses</v>
      </c>
      <c r="R424" s="150" t="str">
        <f t="shared" si="30"/>
        <v>6139</v>
      </c>
      <c r="S424" s="151">
        <f t="shared" si="30"/>
        <v>0</v>
      </c>
      <c r="T424" s="153">
        <f>+VLOOKUP($L424,Data_Validation!$A:$D,1,0)</f>
        <v>6539</v>
      </c>
      <c r="U424" s="153" t="str">
        <f>+VLOOKUP($L424,Data_Validation!$A:$D,3,0)</f>
        <v>Carrosserie</v>
      </c>
      <c r="V424" s="153" t="str">
        <f>+VLOOKUP($L424,Data_Validation!$A:$D,4,0)</f>
        <v>Bénéfices marginaux</v>
      </c>
      <c r="W424" s="153" t="str">
        <f>+VLOOKUP($L424,Data_Validation!$A:$E,5,0)</f>
        <v>$</v>
      </c>
      <c r="X424" s="153">
        <f>+VLOOKUP($L424,Data_Validation!$A:$F,6,0)</f>
        <v>0</v>
      </c>
    </row>
    <row r="425" spans="1:24" ht="15.75" customHeight="1">
      <c r="A425" s="1430" t="s">
        <v>1154</v>
      </c>
      <c r="B425" s="1433">
        <v>6542</v>
      </c>
      <c r="C425" s="1432">
        <v>196.17</v>
      </c>
      <c r="D425" s="1432">
        <v>-4.82</v>
      </c>
      <c r="E425" s="1432">
        <v>191.35</v>
      </c>
      <c r="F425" s="1430" t="s">
        <v>398</v>
      </c>
      <c r="G425" s="1430" t="s">
        <v>2554</v>
      </c>
      <c r="H425" s="1233"/>
      <c r="I425" s="1240"/>
      <c r="J425" s="1240"/>
      <c r="K425" s="1240"/>
      <c r="L425" s="150">
        <f t="shared" si="18"/>
        <v>6542</v>
      </c>
      <c r="M425" s="151" t="str">
        <f t="shared" si="19"/>
        <v>FOURNITURES &amp; PETITS OUTILS</v>
      </c>
      <c r="N425" s="152">
        <f>+IF(OR($Q425=Parametres!$G$2,$Q425=Parametres!$G$3),I425,C425)</f>
        <v>196.17</v>
      </c>
      <c r="O425" s="152">
        <f>+IF(OR($Q425=Parametres!$G$2,$Q425=Parametres!$G$3),J425,D425)</f>
        <v>-4.82</v>
      </c>
      <c r="P425" s="152">
        <f>+IF(OR($Q425=Parametres!$G$2,$Q425=Parametres!$G$3),K425,E425)</f>
        <v>191.35</v>
      </c>
      <c r="Q425" s="151" t="str">
        <f t="shared" si="30"/>
        <v>7-Dépenses</v>
      </c>
      <c r="R425" s="150" t="str">
        <f t="shared" si="30"/>
        <v>6142</v>
      </c>
      <c r="S425" s="151">
        <f t="shared" si="30"/>
        <v>0</v>
      </c>
      <c r="T425" s="153">
        <f>+VLOOKUP($L425,Data_Validation!$A:$D,1,0)</f>
        <v>6542</v>
      </c>
      <c r="U425" s="153" t="str">
        <f>+VLOOKUP($L425,Data_Validation!$A:$D,3,0)</f>
        <v>Carrosserie</v>
      </c>
      <c r="V425" s="153" t="str">
        <f>+VLOOKUP($L425,Data_Validation!$A:$D,4,0)</f>
        <v>Fournitures autres</v>
      </c>
      <c r="W425" s="153" t="str">
        <f>+VLOOKUP($L425,Data_Validation!$A:$E,5,0)</f>
        <v>$</v>
      </c>
      <c r="X425" s="153">
        <f>+VLOOKUP($L425,Data_Validation!$A:$F,6,0)</f>
        <v>0</v>
      </c>
    </row>
    <row r="426" spans="1:24" ht="15" customHeight="1">
      <c r="A426" s="1430" t="s">
        <v>931</v>
      </c>
      <c r="B426" s="1433">
        <v>6544</v>
      </c>
      <c r="C426" s="1432">
        <v>125.8</v>
      </c>
      <c r="D426" s="1432">
        <v>6.2</v>
      </c>
      <c r="E426" s="1432">
        <v>132</v>
      </c>
      <c r="F426" s="1430" t="s">
        <v>398</v>
      </c>
      <c r="G426" s="1430" t="s">
        <v>2552</v>
      </c>
      <c r="H426" s="1233"/>
      <c r="I426" s="1240"/>
      <c r="J426" s="1240"/>
      <c r="K426" s="1240"/>
      <c r="L426" s="150">
        <f t="shared" si="18"/>
        <v>6544</v>
      </c>
      <c r="M426" s="151" t="str">
        <f t="shared" si="19"/>
        <v>FORMATION</v>
      </c>
      <c r="N426" s="152">
        <f>+IF(OR($Q426=Parametres!$G$2,$Q426=Parametres!$G$3),I426,C426)</f>
        <v>125.8</v>
      </c>
      <c r="O426" s="152">
        <f>+IF(OR($Q426=Parametres!$G$2,$Q426=Parametres!$G$3),J426,D426)</f>
        <v>6.2</v>
      </c>
      <c r="P426" s="152">
        <f>+IF(OR($Q426=Parametres!$G$2,$Q426=Parametres!$G$3),K426,E426)</f>
        <v>132</v>
      </c>
      <c r="Q426" s="151" t="str">
        <f t="shared" si="30"/>
        <v>7-Dépenses</v>
      </c>
      <c r="R426" s="150" t="str">
        <f t="shared" si="30"/>
        <v>6144</v>
      </c>
      <c r="S426" s="151">
        <f t="shared" si="30"/>
        <v>0</v>
      </c>
      <c r="T426" s="153">
        <f>+VLOOKUP($L426,Data_Validation!$A:$D,1,0)</f>
        <v>6544</v>
      </c>
      <c r="U426" s="153" t="str">
        <f>+VLOOKUP($L426,Data_Validation!$A:$D,3,0)</f>
        <v>Carrosserie</v>
      </c>
      <c r="V426" s="153" t="str">
        <f>+VLOOKUP($L426,Data_Validation!$A:$D,4,0)</f>
        <v>Formation</v>
      </c>
      <c r="W426" s="153" t="str">
        <f>+VLOOKUP($L426,Data_Validation!$A:$E,5,0)</f>
        <v>$</v>
      </c>
      <c r="X426" s="153">
        <f>+VLOOKUP($L426,Data_Validation!$A:$F,6,0)</f>
        <v>0</v>
      </c>
    </row>
    <row r="427" spans="1:24" ht="15" customHeight="1">
      <c r="A427" s="1430" t="s">
        <v>1183</v>
      </c>
      <c r="B427" s="1433">
        <v>6545</v>
      </c>
      <c r="C427" s="1432">
        <v>4849.2299999999996</v>
      </c>
      <c r="D427" s="1432">
        <v>430.02</v>
      </c>
      <c r="E427" s="1432">
        <v>5279.25</v>
      </c>
      <c r="F427" s="1430" t="s">
        <v>398</v>
      </c>
      <c r="G427" s="1430" t="s">
        <v>2623</v>
      </c>
      <c r="H427" s="1233"/>
      <c r="I427" s="1240"/>
      <c r="J427" s="1240"/>
      <c r="K427" s="1240"/>
      <c r="L427" s="150">
        <f t="shared" si="18"/>
        <v>6545</v>
      </c>
      <c r="M427" s="151" t="str">
        <f t="shared" si="19"/>
        <v>VEHICULE DE COMPAGNIE - DEPENS</v>
      </c>
      <c r="N427" s="152">
        <f>+IF(OR($Q427=Parametres!$G$2,$Q427=Parametres!$G$3),I427,C427)</f>
        <v>4849.2299999999996</v>
      </c>
      <c r="O427" s="152">
        <f>+IF(OR($Q427=Parametres!$G$2,$Q427=Parametres!$G$3),J427,D427)</f>
        <v>430.02</v>
      </c>
      <c r="P427" s="152">
        <f>+IF(OR($Q427=Parametres!$G$2,$Q427=Parametres!$G$3),K427,E427)</f>
        <v>5279.25</v>
      </c>
      <c r="Q427" s="151" t="str">
        <f t="shared" si="30"/>
        <v>7-Dépenses</v>
      </c>
      <c r="R427" s="150" t="str">
        <f t="shared" si="30"/>
        <v>6145</v>
      </c>
      <c r="S427" s="151">
        <f t="shared" si="30"/>
        <v>0</v>
      </c>
      <c r="T427" s="153">
        <f>+VLOOKUP($L427,Data_Validation!$A:$D,1,0)</f>
        <v>6545</v>
      </c>
      <c r="U427" s="153" t="str">
        <f>+VLOOKUP($L427,Data_Validation!$A:$D,3,0)</f>
        <v>Carrosserie</v>
      </c>
      <c r="V427" s="153" t="str">
        <f>+VLOOKUP($L427,Data_Validation!$A:$D,4,0)</f>
        <v>Frais véhicules de cie</v>
      </c>
      <c r="W427" s="153" t="str">
        <f>+VLOOKUP($L427,Data_Validation!$A:$E,5,0)</f>
        <v>$</v>
      </c>
      <c r="X427" s="153">
        <f>+VLOOKUP($L427,Data_Validation!$A:$F,6,0)</f>
        <v>0</v>
      </c>
    </row>
    <row r="428" spans="1:24" ht="15" customHeight="1">
      <c r="A428" s="1430" t="s">
        <v>1177</v>
      </c>
      <c r="B428" s="1433">
        <v>6547</v>
      </c>
      <c r="C428" s="1432">
        <v>306.88</v>
      </c>
      <c r="D428" s="1432">
        <v>71.34</v>
      </c>
      <c r="E428" s="1432">
        <v>378.22</v>
      </c>
      <c r="F428" s="1430" t="s">
        <v>398</v>
      </c>
      <c r="G428" s="1430" t="s">
        <v>2572</v>
      </c>
      <c r="H428" s="1233"/>
      <c r="I428" s="1240"/>
      <c r="J428" s="1240"/>
      <c r="K428" s="1240"/>
      <c r="L428" s="150">
        <f t="shared" si="18"/>
        <v>6547</v>
      </c>
      <c r="M428" s="151" t="str">
        <f t="shared" si="19"/>
        <v>FRET/EXPRESS/TRANS. PAR CAMION</v>
      </c>
      <c r="N428" s="152">
        <f>+IF(OR($Q428=Parametres!$G$2,$Q428=Parametres!$G$3),I428,C428)</f>
        <v>306.88</v>
      </c>
      <c r="O428" s="152">
        <f>+IF(OR($Q428=Parametres!$G$2,$Q428=Parametres!$G$3),J428,D428)</f>
        <v>71.34</v>
      </c>
      <c r="P428" s="152">
        <f>+IF(OR($Q428=Parametres!$G$2,$Q428=Parametres!$G$3),K428,E428)</f>
        <v>378.22</v>
      </c>
      <c r="Q428" s="151" t="str">
        <f t="shared" si="30"/>
        <v>7-Dépenses</v>
      </c>
      <c r="R428" s="150" t="str">
        <f t="shared" si="30"/>
        <v>6147</v>
      </c>
      <c r="S428" s="151">
        <f t="shared" si="30"/>
        <v>0</v>
      </c>
      <c r="T428" s="153">
        <f>+VLOOKUP($L428,Data_Validation!$A:$D,1,0)</f>
        <v>6547</v>
      </c>
      <c r="U428" s="153" t="str">
        <f>+VLOOKUP($L428,Data_Validation!$A:$D,3,0)</f>
        <v>Carrosserie</v>
      </c>
      <c r="V428" s="153" t="str">
        <f>+VLOOKUP($L428,Data_Validation!$A:$D,4,0)</f>
        <v>Frais postaux</v>
      </c>
      <c r="W428" s="153" t="str">
        <f>+VLOOKUP($L428,Data_Validation!$A:$E,5,0)</f>
        <v>$</v>
      </c>
      <c r="X428" s="153">
        <f>+VLOOKUP($L428,Data_Validation!$A:$F,6,0)</f>
        <v>0</v>
      </c>
    </row>
    <row r="429" spans="1:24" ht="15" customHeight="1">
      <c r="A429" s="1430" t="s">
        <v>1283</v>
      </c>
      <c r="B429" s="1433">
        <v>6551</v>
      </c>
      <c r="C429" s="1432">
        <v>12207.99</v>
      </c>
      <c r="D429" s="1432">
        <v>1366.02</v>
      </c>
      <c r="E429" s="1432">
        <v>13574.01</v>
      </c>
      <c r="F429" s="1430" t="s">
        <v>398</v>
      </c>
      <c r="G429" s="1430" t="s">
        <v>2693</v>
      </c>
      <c r="H429" s="1233"/>
      <c r="I429" s="1240"/>
      <c r="J429" s="1240"/>
      <c r="K429" s="1240"/>
      <c r="L429" s="150">
        <f t="shared" si="18"/>
        <v>6551</v>
      </c>
      <c r="M429" s="151" t="str">
        <f t="shared" si="19"/>
        <v>DEP. DU TRAITEMENT DES DONNEES</v>
      </c>
      <c r="N429" s="152">
        <f>+IF(OR($Q429=Parametres!$G$2,$Q429=Parametres!$G$3),I429,C429)</f>
        <v>12207.99</v>
      </c>
      <c r="O429" s="152">
        <f>+IF(OR($Q429=Parametres!$G$2,$Q429=Parametres!$G$3),J429,D429)</f>
        <v>1366.02</v>
      </c>
      <c r="P429" s="152">
        <f>+IF(OR($Q429=Parametres!$G$2,$Q429=Parametres!$G$3),K429,E429)</f>
        <v>13574.01</v>
      </c>
      <c r="Q429" s="151" t="str">
        <f t="shared" si="30"/>
        <v>7-Dépenses</v>
      </c>
      <c r="R429" s="150" t="str">
        <f t="shared" si="30"/>
        <v>6151</v>
      </c>
      <c r="S429" s="151">
        <f t="shared" si="30"/>
        <v>0</v>
      </c>
      <c r="T429" s="153">
        <f>+VLOOKUP($L429,Data_Validation!$A:$D,1,0)</f>
        <v>6551</v>
      </c>
      <c r="U429" s="153" t="str">
        <f>+VLOOKUP($L429,Data_Validation!$A:$D,3,0)</f>
        <v>Carrosserie</v>
      </c>
      <c r="V429" s="153" t="str">
        <f>+VLOOKUP($L429,Data_Validation!$A:$D,4,0)</f>
        <v>Informatique</v>
      </c>
      <c r="W429" s="153" t="str">
        <f>+VLOOKUP($L429,Data_Validation!$A:$E,5,0)</f>
        <v>$</v>
      </c>
      <c r="X429" s="153">
        <f>+VLOOKUP($L429,Data_Validation!$A:$F,6,0)</f>
        <v>0</v>
      </c>
    </row>
    <row r="430" spans="1:24" ht="15" customHeight="1">
      <c r="A430" s="1430" t="s">
        <v>1203</v>
      </c>
      <c r="B430" s="1433">
        <v>6552</v>
      </c>
      <c r="C430" s="1432">
        <v>960.66</v>
      </c>
      <c r="D430" s="1432">
        <v>179.79</v>
      </c>
      <c r="E430" s="1432">
        <v>1140.45</v>
      </c>
      <c r="F430" s="1430" t="s">
        <v>398</v>
      </c>
      <c r="G430" s="1430" t="s">
        <v>2579</v>
      </c>
      <c r="H430" s="1233"/>
      <c r="I430" s="1240"/>
      <c r="J430" s="1240"/>
      <c r="K430" s="1240"/>
      <c r="L430" s="150">
        <f t="shared" si="18"/>
        <v>6552</v>
      </c>
      <c r="M430" s="151" t="str">
        <f t="shared" si="19"/>
        <v>PAPETERIE</v>
      </c>
      <c r="N430" s="152">
        <f>+IF(OR($Q430=Parametres!$G$2,$Q430=Parametres!$G$3),I430,C430)</f>
        <v>960.66</v>
      </c>
      <c r="O430" s="152">
        <f>+IF(OR($Q430=Parametres!$G$2,$Q430=Parametres!$G$3),J430,D430)</f>
        <v>179.79</v>
      </c>
      <c r="P430" s="152">
        <f>+IF(OR($Q430=Parametres!$G$2,$Q430=Parametres!$G$3),K430,E430)</f>
        <v>1140.45</v>
      </c>
      <c r="Q430" s="151" t="str">
        <f t="shared" si="30"/>
        <v>7-Dépenses</v>
      </c>
      <c r="R430" s="150" t="str">
        <f t="shared" si="30"/>
        <v>6152</v>
      </c>
      <c r="S430" s="151">
        <f t="shared" si="30"/>
        <v>0</v>
      </c>
      <c r="T430" s="153">
        <f>+VLOOKUP($L430,Data_Validation!$A:$D,1,0)</f>
        <v>6552</v>
      </c>
      <c r="U430" s="153" t="str">
        <f>+VLOOKUP($L430,Data_Validation!$A:$D,3,0)</f>
        <v>Carrosserie</v>
      </c>
      <c r="V430" s="153" t="str">
        <f>+VLOOKUP($L430,Data_Validation!$A:$D,4,0)</f>
        <v>Papeterie</v>
      </c>
      <c r="W430" s="153" t="str">
        <f>+VLOOKUP($L430,Data_Validation!$A:$E,5,0)</f>
        <v>$</v>
      </c>
      <c r="X430" s="153">
        <f>+VLOOKUP($L430,Data_Validation!$A:$F,6,0)</f>
        <v>0</v>
      </c>
    </row>
    <row r="431" spans="1:24" ht="15.75" customHeight="1">
      <c r="A431" s="1430" t="s">
        <v>1151</v>
      </c>
      <c r="B431" s="1433">
        <v>6553</v>
      </c>
      <c r="C431" s="1432">
        <v>609.37</v>
      </c>
      <c r="D431" s="1432">
        <v>21.97</v>
      </c>
      <c r="E431" s="1432">
        <v>631.34</v>
      </c>
      <c r="F431" s="1430" t="s">
        <v>398</v>
      </c>
      <c r="G431" s="1430" t="s">
        <v>2583</v>
      </c>
      <c r="H431" s="1233"/>
      <c r="I431" s="1240"/>
      <c r="J431" s="1240"/>
      <c r="K431" s="1240"/>
      <c r="L431" s="150">
        <f t="shared" si="18"/>
        <v>6553</v>
      </c>
      <c r="M431" s="151" t="str">
        <f t="shared" si="19"/>
        <v>TELEPHONE ET TELEX</v>
      </c>
      <c r="N431" s="152">
        <f>+IF(OR($Q431=Parametres!$G$2,$Q431=Parametres!$G$3),I431,C431)</f>
        <v>609.37</v>
      </c>
      <c r="O431" s="152">
        <f>+IF(OR($Q431=Parametres!$G$2,$Q431=Parametres!$G$3),J431,D431)</f>
        <v>21.97</v>
      </c>
      <c r="P431" s="152">
        <f>+IF(OR($Q431=Parametres!$G$2,$Q431=Parametres!$G$3),K431,E431)</f>
        <v>631.34</v>
      </c>
      <c r="Q431" s="151" t="str">
        <f t="shared" si="30"/>
        <v>7-Dépenses</v>
      </c>
      <c r="R431" s="150" t="str">
        <f t="shared" si="30"/>
        <v>6153</v>
      </c>
      <c r="S431" s="151">
        <f t="shared" si="30"/>
        <v>0</v>
      </c>
      <c r="T431" s="153">
        <f>+VLOOKUP($L431,Data_Validation!$A:$D,1,0)</f>
        <v>6553</v>
      </c>
      <c r="U431" s="153" t="str">
        <f>+VLOOKUP($L431,Data_Validation!$A:$D,3,0)</f>
        <v>Carrosserie</v>
      </c>
      <c r="V431" s="153" t="str">
        <f>+VLOOKUP($L431,Data_Validation!$A:$D,4,0)</f>
        <v>Téléphone</v>
      </c>
      <c r="W431" s="153" t="str">
        <f>+VLOOKUP($L431,Data_Validation!$A:$E,5,0)</f>
        <v>$</v>
      </c>
      <c r="X431" s="153">
        <f>+VLOOKUP($L431,Data_Validation!$A:$F,6,0)</f>
        <v>0</v>
      </c>
    </row>
    <row r="432" spans="1:24" ht="15" customHeight="1">
      <c r="A432" s="1430" t="s">
        <v>1234</v>
      </c>
      <c r="B432" s="1433">
        <v>6555</v>
      </c>
      <c r="C432" s="1432">
        <v>1423.36</v>
      </c>
      <c r="D432" s="1432">
        <v>297.02</v>
      </c>
      <c r="E432" s="1432">
        <v>1720.38</v>
      </c>
      <c r="F432" s="1430" t="s">
        <v>398</v>
      </c>
      <c r="G432" s="1430" t="s">
        <v>2628</v>
      </c>
      <c r="H432" s="1233"/>
      <c r="I432" s="1240"/>
      <c r="J432" s="1240"/>
      <c r="K432" s="1240"/>
      <c r="L432" s="150">
        <f t="shared" si="18"/>
        <v>6555</v>
      </c>
      <c r="M432" s="151" t="str">
        <f t="shared" si="19"/>
        <v>DEPENSES DIVERS</v>
      </c>
      <c r="N432" s="152">
        <f>+IF(OR($Q432=Parametres!$G$2,$Q432=Parametres!$G$3),I432,C432)</f>
        <v>1423.36</v>
      </c>
      <c r="O432" s="152">
        <f>+IF(OR($Q432=Parametres!$G$2,$Q432=Parametres!$G$3),J432,D432)</f>
        <v>297.02</v>
      </c>
      <c r="P432" s="152">
        <f>+IF(OR($Q432=Parametres!$G$2,$Q432=Parametres!$G$3),K432,E432)</f>
        <v>1720.38</v>
      </c>
      <c r="Q432" s="151" t="str">
        <f t="shared" si="30"/>
        <v>7-Dépenses</v>
      </c>
      <c r="R432" s="150" t="str">
        <f t="shared" si="30"/>
        <v>6155</v>
      </c>
      <c r="S432" s="151">
        <f t="shared" si="30"/>
        <v>0</v>
      </c>
      <c r="T432" s="153">
        <f>+VLOOKUP($L432,Data_Validation!$A:$D,1,0)</f>
        <v>6555</v>
      </c>
      <c r="U432" s="153" t="str">
        <f>+VLOOKUP($L432,Data_Validation!$A:$D,3,0)</f>
        <v>Carrosserie</v>
      </c>
      <c r="V432" s="153" t="str">
        <f>+VLOOKUP($L432,Data_Validation!$A:$D,4,0)</f>
        <v>Divers</v>
      </c>
      <c r="W432" s="153" t="str">
        <f>+VLOOKUP($L432,Data_Validation!$A:$E,5,0)</f>
        <v>$</v>
      </c>
      <c r="X432" s="153">
        <f>+VLOOKUP($L432,Data_Validation!$A:$F,6,0)</f>
        <v>0</v>
      </c>
    </row>
    <row r="433" spans="1:24" ht="15" customHeight="1">
      <c r="A433" s="1430" t="s">
        <v>1214</v>
      </c>
      <c r="B433" s="1433">
        <v>6556</v>
      </c>
      <c r="C433" s="1432">
        <v>861.84</v>
      </c>
      <c r="D433" s="1432">
        <v>178.69</v>
      </c>
      <c r="E433" s="1432">
        <v>1040.53</v>
      </c>
      <c r="F433" s="1430" t="s">
        <v>398</v>
      </c>
      <c r="G433" s="1430" t="s">
        <v>2461</v>
      </c>
      <c r="H433" s="1233"/>
      <c r="I433" s="1240"/>
      <c r="J433" s="1240"/>
      <c r="K433" s="1240"/>
      <c r="L433" s="150">
        <f t="shared" si="18"/>
        <v>6556</v>
      </c>
      <c r="M433" s="151" t="str">
        <f t="shared" si="19"/>
        <v>FRAIS REPRESENTATION</v>
      </c>
      <c r="N433" s="152">
        <f>+IF(OR($Q433=Parametres!$G$2,$Q433=Parametres!$G$3),I433,C433)</f>
        <v>861.84</v>
      </c>
      <c r="O433" s="152">
        <f>+IF(OR($Q433=Parametres!$G$2,$Q433=Parametres!$G$3),J433,D433)</f>
        <v>178.69</v>
      </c>
      <c r="P433" s="152">
        <f>+IF(OR($Q433=Parametres!$G$2,$Q433=Parametres!$G$3),K433,E433)</f>
        <v>1040.53</v>
      </c>
      <c r="Q433" s="151" t="str">
        <f t="shared" si="30"/>
        <v>7-Dépenses</v>
      </c>
      <c r="R433" s="150" t="str">
        <f t="shared" si="30"/>
        <v>6156</v>
      </c>
      <c r="S433" s="151">
        <f t="shared" si="30"/>
        <v>0</v>
      </c>
      <c r="T433" s="153">
        <f>+VLOOKUP($L433,Data_Validation!$A:$D,1,0)</f>
        <v>6556</v>
      </c>
      <c r="U433" s="153" t="str">
        <f>+VLOOKUP($L433,Data_Validation!$A:$D,3,0)</f>
        <v>Carrosserie</v>
      </c>
      <c r="V433" s="153" t="str">
        <f>+VLOOKUP($L433,Data_Validation!$A:$D,4,0)</f>
        <v>Frais de déplacement</v>
      </c>
      <c r="W433" s="153" t="str">
        <f>+VLOOKUP($L433,Data_Validation!$A:$E,5,0)</f>
        <v>$</v>
      </c>
      <c r="X433" s="153">
        <f>+VLOOKUP($L433,Data_Validation!$A:$F,6,0)</f>
        <v>0</v>
      </c>
    </row>
    <row r="434" spans="1:24" ht="15" customHeight="1">
      <c r="A434" s="1430" t="s">
        <v>1305</v>
      </c>
      <c r="B434" s="1433">
        <v>6559</v>
      </c>
      <c r="C434" s="1432">
        <v>4750.25</v>
      </c>
      <c r="D434" s="1432">
        <v>605.45000000000005</v>
      </c>
      <c r="E434" s="1432">
        <v>5355.7</v>
      </c>
      <c r="F434" s="1430" t="s">
        <v>398</v>
      </c>
      <c r="G434" s="1430" t="s">
        <v>2653</v>
      </c>
      <c r="H434" s="1241"/>
      <c r="I434" s="1242"/>
      <c r="J434" s="1242"/>
      <c r="K434" s="1242"/>
      <c r="L434" s="150">
        <f t="shared" si="18"/>
        <v>6559</v>
      </c>
      <c r="M434" s="151" t="str">
        <f t="shared" si="19"/>
        <v>SERVICE EXTERIEUR</v>
      </c>
      <c r="N434" s="152">
        <f>+IF(OR($Q434=Parametres!$G$2,$Q434=Parametres!$G$3),I434,C434)</f>
        <v>4750.25</v>
      </c>
      <c r="O434" s="152">
        <f>+IF(OR($Q434=Parametres!$G$2,$Q434=Parametres!$G$3),J434,D434)</f>
        <v>605.45000000000005</v>
      </c>
      <c r="P434" s="152">
        <f>+IF(OR($Q434=Parametres!$G$2,$Q434=Parametres!$G$3),K434,E434)</f>
        <v>5355.7</v>
      </c>
      <c r="Q434" s="151" t="str">
        <f t="shared" ref="Q434:S449" si="31">+F434</f>
        <v>7-Dépenses</v>
      </c>
      <c r="R434" s="150" t="str">
        <f t="shared" si="31"/>
        <v>6159</v>
      </c>
      <c r="S434" s="151">
        <f t="shared" si="31"/>
        <v>0</v>
      </c>
      <c r="T434" s="153">
        <f>+VLOOKUP($L434,Data_Validation!$A:$D,1,0)</f>
        <v>6559</v>
      </c>
      <c r="U434" s="153" t="str">
        <f>+VLOOKUP($L434,Data_Validation!$A:$D,3,0)</f>
        <v>Carrosserie</v>
      </c>
      <c r="V434" s="153" t="str">
        <f>+VLOOKUP($L434,Data_Validation!$A:$D,4,0)</f>
        <v>Services extérieurs</v>
      </c>
      <c r="W434" s="153" t="str">
        <f>+VLOOKUP($L434,Data_Validation!$A:$E,5,0)</f>
        <v>$</v>
      </c>
      <c r="X434" s="153">
        <f>+VLOOKUP($L434,Data_Validation!$A:$F,6,0)</f>
        <v>0</v>
      </c>
    </row>
    <row r="435" spans="1:24" ht="15.75" customHeight="1">
      <c r="A435" s="1430" t="s">
        <v>1330</v>
      </c>
      <c r="B435" s="1433">
        <v>6561</v>
      </c>
      <c r="C435" s="1432">
        <v>2773.77</v>
      </c>
      <c r="D435" s="1432">
        <v>302.02</v>
      </c>
      <c r="E435" s="1432">
        <v>3075.79</v>
      </c>
      <c r="F435" s="1430" t="s">
        <v>398</v>
      </c>
      <c r="G435" s="1430" t="s">
        <v>2644</v>
      </c>
      <c r="H435" s="1241"/>
      <c r="I435" s="1242"/>
      <c r="J435" s="1242"/>
      <c r="K435" s="1242"/>
      <c r="L435" s="150">
        <f t="shared" si="18"/>
        <v>6561</v>
      </c>
      <c r="M435" s="151" t="str">
        <f t="shared" si="19"/>
        <v>DEPRECIATION EQUIP. &amp; FIXTURES</v>
      </c>
      <c r="N435" s="152">
        <f>+IF(OR($Q435=Parametres!$G$2,$Q435=Parametres!$G$3),I435,C435)</f>
        <v>2773.77</v>
      </c>
      <c r="O435" s="152">
        <f>+IF(OR($Q435=Parametres!$G$2,$Q435=Parametres!$G$3),J435,D435)</f>
        <v>302.02</v>
      </c>
      <c r="P435" s="152">
        <f>+IF(OR($Q435=Parametres!$G$2,$Q435=Parametres!$G$3),K435,E435)</f>
        <v>3075.79</v>
      </c>
      <c r="Q435" s="151" t="str">
        <f t="shared" si="31"/>
        <v>7-Dépenses</v>
      </c>
      <c r="R435" s="150" t="str">
        <f t="shared" si="31"/>
        <v>6161</v>
      </c>
      <c r="S435" s="151">
        <f t="shared" si="31"/>
        <v>0</v>
      </c>
      <c r="T435" s="153">
        <f>+VLOOKUP($L435,Data_Validation!$A:$D,1,0)</f>
        <v>6561</v>
      </c>
      <c r="U435" s="153" t="str">
        <f>+VLOOKUP($L435,Data_Validation!$A:$D,3,0)</f>
        <v>Carrosserie</v>
      </c>
      <c r="V435" s="153" t="str">
        <f>+VLOOKUP($L435,Data_Validation!$A:$D,4,0)</f>
        <v>Amortissement</v>
      </c>
      <c r="W435" s="153" t="str">
        <f>+VLOOKUP($L435,Data_Validation!$A:$E,5,0)</f>
        <v>$</v>
      </c>
      <c r="X435" s="153">
        <f>+VLOOKUP($L435,Data_Validation!$A:$F,6,0)</f>
        <v>0</v>
      </c>
    </row>
    <row r="436" spans="1:24" ht="15" customHeight="1">
      <c r="A436" s="1430" t="s">
        <v>1241</v>
      </c>
      <c r="B436" s="1433">
        <v>6581</v>
      </c>
      <c r="C436" s="1432">
        <v>1565.78</v>
      </c>
      <c r="D436" s="1432">
        <v>264.25</v>
      </c>
      <c r="E436" s="1432">
        <v>1830.03</v>
      </c>
      <c r="F436" s="1430" t="s">
        <v>398</v>
      </c>
      <c r="G436" s="1430" t="s">
        <v>2595</v>
      </c>
      <c r="H436" s="1241"/>
      <c r="I436" s="1242"/>
      <c r="J436" s="1242"/>
      <c r="K436" s="1242"/>
      <c r="L436" s="150">
        <f t="shared" si="18"/>
        <v>6581</v>
      </c>
      <c r="M436" s="151" t="str">
        <f t="shared" si="19"/>
        <v>CHAUFFAGE,ELECTRICITE,EAU-CARROS.</v>
      </c>
      <c r="N436" s="152">
        <f>+IF(OR($Q436=Parametres!$G$2,$Q436=Parametres!$G$3),I436,C436)</f>
        <v>1565.78</v>
      </c>
      <c r="O436" s="152">
        <f>+IF(OR($Q436=Parametres!$G$2,$Q436=Parametres!$G$3),J436,D436)</f>
        <v>264.25</v>
      </c>
      <c r="P436" s="152">
        <f>+IF(OR($Q436=Parametres!$G$2,$Q436=Parametres!$G$3),K436,E436)</f>
        <v>1830.03</v>
      </c>
      <c r="Q436" s="151" t="str">
        <f t="shared" si="31"/>
        <v>7-Dépenses</v>
      </c>
      <c r="R436" s="150" t="str">
        <f t="shared" si="31"/>
        <v>6181</v>
      </c>
      <c r="S436" s="151">
        <f t="shared" si="31"/>
        <v>0</v>
      </c>
      <c r="T436" s="153">
        <f>+VLOOKUP($L436,Data_Validation!$A:$D,1,0)</f>
        <v>6581</v>
      </c>
      <c r="U436" s="153" t="str">
        <f>+VLOOKUP($L436,Data_Validation!$A:$D,3,0)</f>
        <v>Carrosserie</v>
      </c>
      <c r="V436" s="153" t="str">
        <f>+VLOOKUP($L436,Data_Validation!$A:$D,4,0)</f>
        <v>Chauffage, éclairage</v>
      </c>
      <c r="W436" s="153" t="str">
        <f>+VLOOKUP($L436,Data_Validation!$A:$E,5,0)</f>
        <v>$</v>
      </c>
      <c r="X436" s="153">
        <f>+VLOOKUP($L436,Data_Validation!$A:$F,6,0)</f>
        <v>0</v>
      </c>
    </row>
    <row r="437" spans="1:24" ht="15" customHeight="1">
      <c r="A437" s="1430" t="s">
        <v>1395</v>
      </c>
      <c r="B437" s="1433">
        <v>6582</v>
      </c>
      <c r="C437" s="1432">
        <v>16380</v>
      </c>
      <c r="D437" s="1432">
        <v>1820</v>
      </c>
      <c r="E437" s="1432">
        <v>18200</v>
      </c>
      <c r="F437" s="1430" t="s">
        <v>398</v>
      </c>
      <c r="G437" s="1430" t="s">
        <v>2700</v>
      </c>
      <c r="H437" s="1241"/>
      <c r="I437" s="1242"/>
      <c r="J437" s="1242"/>
      <c r="K437" s="1242"/>
      <c r="L437" s="150">
        <f t="shared" si="18"/>
        <v>6582</v>
      </c>
      <c r="M437" s="151" t="str">
        <f t="shared" si="19"/>
        <v>LOYER - CARROSSERIE</v>
      </c>
      <c r="N437" s="152">
        <f>+IF(OR($Q437=Parametres!$G$2,$Q437=Parametres!$G$3),I437,C437)</f>
        <v>16380</v>
      </c>
      <c r="O437" s="152">
        <f>+IF(OR($Q437=Parametres!$G$2,$Q437=Parametres!$G$3),J437,D437)</f>
        <v>1820</v>
      </c>
      <c r="P437" s="152">
        <f>+IF(OR($Q437=Parametres!$G$2,$Q437=Parametres!$G$3),K437,E437)</f>
        <v>18200</v>
      </c>
      <c r="Q437" s="151" t="str">
        <f t="shared" si="31"/>
        <v>7-Dépenses</v>
      </c>
      <c r="R437" s="150" t="str">
        <f t="shared" si="31"/>
        <v>6182</v>
      </c>
      <c r="S437" s="151">
        <f t="shared" si="31"/>
        <v>0</v>
      </c>
      <c r="T437" s="153">
        <f>+VLOOKUP($L437,Data_Validation!$A:$D,1,0)</f>
        <v>6582</v>
      </c>
      <c r="U437" s="153" t="str">
        <f>+VLOOKUP($L437,Data_Validation!$A:$D,3,0)</f>
        <v>Carrosserie</v>
      </c>
      <c r="V437" s="153" t="str">
        <f>+VLOOKUP($L437,Data_Validation!$A:$D,4,0)</f>
        <v>Loyer</v>
      </c>
      <c r="W437" s="153" t="str">
        <f>+VLOOKUP($L437,Data_Validation!$A:$E,5,0)</f>
        <v>$</v>
      </c>
      <c r="X437" s="153">
        <f>+VLOOKUP($L437,Data_Validation!$A:$F,6,0)</f>
        <v>0</v>
      </c>
    </row>
    <row r="438" spans="1:24" ht="15" customHeight="1">
      <c r="A438" s="1430" t="s">
        <v>1252</v>
      </c>
      <c r="B438" s="1433">
        <v>6586</v>
      </c>
      <c r="C438" s="1432">
        <v>2336.13</v>
      </c>
      <c r="D438" s="1432">
        <v>259.57</v>
      </c>
      <c r="E438" s="1432">
        <v>2595.6999999999998</v>
      </c>
      <c r="F438" s="1430" t="s">
        <v>398</v>
      </c>
      <c r="G438" s="1430" t="s">
        <v>2585</v>
      </c>
      <c r="H438" s="1241"/>
      <c r="I438" s="1242"/>
      <c r="J438" s="1242"/>
      <c r="K438" s="1242"/>
      <c r="L438" s="150">
        <f t="shared" si="18"/>
        <v>6586</v>
      </c>
      <c r="M438" s="151" t="str">
        <f t="shared" si="19"/>
        <v>ASSURANCE BATISSE &amp; AMEL.-CARROS.</v>
      </c>
      <c r="N438" s="152">
        <f>+IF(OR($Q438=Parametres!$G$2,$Q438=Parametres!$G$3),I438,C438)</f>
        <v>2336.13</v>
      </c>
      <c r="O438" s="571">
        <f>+IF(OR($Q438=Parametres!$G$2,$Q438=Parametres!$G$3),J438,D438)</f>
        <v>259.57</v>
      </c>
      <c r="P438" s="152">
        <f>+IF(OR($Q438=Parametres!$G$2,$Q438=Parametres!$G$3),K438,E438)</f>
        <v>2595.6999999999998</v>
      </c>
      <c r="Q438" s="151" t="str">
        <f t="shared" si="31"/>
        <v>7-Dépenses</v>
      </c>
      <c r="R438" s="150" t="str">
        <f t="shared" si="31"/>
        <v>6186</v>
      </c>
      <c r="S438" s="151">
        <f t="shared" si="31"/>
        <v>0</v>
      </c>
      <c r="T438" s="153">
        <f>+VLOOKUP($L438,Data_Validation!$A:$D,1,0)</f>
        <v>6586</v>
      </c>
      <c r="U438" s="153" t="str">
        <f>+VLOOKUP($L438,Data_Validation!$A:$D,3,0)</f>
        <v>Carrosserie</v>
      </c>
      <c r="V438" s="153" t="str">
        <f>+VLOOKUP($L438,Data_Validation!$A:$D,4,0)</f>
        <v>Assurances</v>
      </c>
      <c r="W438" s="153" t="str">
        <f>+VLOOKUP($L438,Data_Validation!$A:$E,5,0)</f>
        <v>$</v>
      </c>
      <c r="X438" s="153">
        <f>+VLOOKUP($L438,Data_Validation!$A:$F,6,0)</f>
        <v>0</v>
      </c>
    </row>
    <row r="439" spans="1:24" ht="15" customHeight="1">
      <c r="A439" s="1430" t="s">
        <v>1261</v>
      </c>
      <c r="B439" s="1433">
        <v>6587</v>
      </c>
      <c r="C439" s="1432">
        <v>3030.3</v>
      </c>
      <c r="D439" s="1432">
        <v>336.7</v>
      </c>
      <c r="E439" s="1432">
        <v>3367</v>
      </c>
      <c r="F439" s="1430" t="s">
        <v>398</v>
      </c>
      <c r="G439" s="1430" t="s">
        <v>2605</v>
      </c>
      <c r="H439" s="1241"/>
      <c r="I439" s="1242"/>
      <c r="J439" s="1242"/>
      <c r="K439" s="1242"/>
      <c r="L439" s="150">
        <f t="shared" si="18"/>
        <v>6587</v>
      </c>
      <c r="M439" s="151" t="str">
        <f t="shared" si="19"/>
        <v>TAXES FONCIERES - CAROSSERIE</v>
      </c>
      <c r="N439" s="152">
        <f>+IF(OR($Q439=Parametres!$G$2,$Q439=Parametres!$G$3),I439,C439)</f>
        <v>3030.3</v>
      </c>
      <c r="O439" s="152">
        <f>+IF(OR($Q439=Parametres!$G$2,$Q439=Parametres!$G$3),J439,D439)</f>
        <v>336.7</v>
      </c>
      <c r="P439" s="152">
        <f>+IF(OR($Q439=Parametres!$G$2,$Q439=Parametres!$G$3),K439,E439)</f>
        <v>3367</v>
      </c>
      <c r="Q439" s="151" t="str">
        <f t="shared" si="31"/>
        <v>7-Dépenses</v>
      </c>
      <c r="R439" s="150" t="str">
        <f t="shared" si="31"/>
        <v>6187</v>
      </c>
      <c r="S439" s="151">
        <f t="shared" si="31"/>
        <v>0</v>
      </c>
      <c r="T439" s="153">
        <f>+VLOOKUP($L439,Data_Validation!$A:$D,1,0)</f>
        <v>6587</v>
      </c>
      <c r="U439" s="153" t="str">
        <f>+VLOOKUP($L439,Data_Validation!$A:$D,3,0)</f>
        <v>Carrosserie</v>
      </c>
      <c r="V439" s="153" t="str">
        <f>+VLOOKUP($L439,Data_Validation!$A:$D,4,0)</f>
        <v>Taxes foncières</v>
      </c>
      <c r="W439" s="153" t="str">
        <f>+VLOOKUP($L439,Data_Validation!$A:$E,5,0)</f>
        <v>$</v>
      </c>
      <c r="X439" s="153">
        <f>+VLOOKUP($L439,Data_Validation!$A:$F,6,0)</f>
        <v>0</v>
      </c>
    </row>
    <row r="440" spans="1:24" ht="15" customHeight="1">
      <c r="A440" s="1430" t="s">
        <v>1222</v>
      </c>
      <c r="B440" s="1433">
        <v>6593</v>
      </c>
      <c r="C440" s="1432">
        <v>2016</v>
      </c>
      <c r="D440" s="1432">
        <v>224</v>
      </c>
      <c r="E440" s="1432">
        <v>2240</v>
      </c>
      <c r="F440" s="1430" t="s">
        <v>398</v>
      </c>
      <c r="G440" s="1430" t="s">
        <v>2588</v>
      </c>
      <c r="H440" s="1241"/>
      <c r="I440" s="1242"/>
      <c r="J440" s="1242"/>
      <c r="K440" s="1242"/>
      <c r="L440" s="150">
        <f t="shared" si="18"/>
        <v>6593</v>
      </c>
      <c r="M440" s="151" t="str">
        <f t="shared" si="19"/>
        <v>AUTRES TAXES -CARROSSERIE</v>
      </c>
      <c r="N440" s="152">
        <f>+IF(OR($Q440=Parametres!$G$2,$Q440=Parametres!$G$3),I440,C440)</f>
        <v>2016</v>
      </c>
      <c r="O440" s="566">
        <f>+IF(OR($Q440=Parametres!$G$2,$Q440=Parametres!$G$3),J440,D440)</f>
        <v>224</v>
      </c>
      <c r="P440" s="152">
        <f>+IF(OR($Q440=Parametres!$G$2,$Q440=Parametres!$G$3),K440,E440)</f>
        <v>2240</v>
      </c>
      <c r="Q440" s="151" t="str">
        <f t="shared" si="31"/>
        <v>7-Dépenses</v>
      </c>
      <c r="R440" s="150" t="str">
        <f t="shared" si="31"/>
        <v>6193</v>
      </c>
      <c r="S440" s="151">
        <f t="shared" si="31"/>
        <v>0</v>
      </c>
      <c r="T440" s="153">
        <f>+VLOOKUP($L440,Data_Validation!$A:$D,1,0)</f>
        <v>6593</v>
      </c>
      <c r="U440" s="153" t="str">
        <f>+VLOOKUP($L440,Data_Validation!$A:$D,3,0)</f>
        <v>Carrosserie</v>
      </c>
      <c r="V440" s="153" t="str">
        <f>+VLOOKUP($L440,Data_Validation!$A:$D,4,0)</f>
        <v>Taxes d`affaires</v>
      </c>
      <c r="W440" s="153" t="str">
        <f>+VLOOKUP($L440,Data_Validation!$A:$E,5,0)</f>
        <v>$</v>
      </c>
      <c r="X440" s="153">
        <f>+VLOOKUP($L440,Data_Validation!$A:$F,6,0)</f>
        <v>0</v>
      </c>
    </row>
    <row r="441" spans="1:24" ht="15.75" customHeight="1">
      <c r="A441" s="1430" t="s">
        <v>1268</v>
      </c>
      <c r="B441" s="1433">
        <v>6594</v>
      </c>
      <c r="C441" s="1432">
        <v>4069.88</v>
      </c>
      <c r="D441" s="1432">
        <v>435.2</v>
      </c>
      <c r="E441" s="1432">
        <v>4505.08</v>
      </c>
      <c r="F441" s="1430" t="s">
        <v>398</v>
      </c>
      <c r="G441" s="1430" t="s">
        <v>2626</v>
      </c>
      <c r="H441" s="1241"/>
      <c r="I441" s="1242"/>
      <c r="J441" s="1242"/>
      <c r="K441" s="1242"/>
      <c r="L441" s="150">
        <f t="shared" si="18"/>
        <v>6594</v>
      </c>
      <c r="M441" s="151" t="str">
        <f t="shared" si="19"/>
        <v>FRAIS PROFESSIONNEL-CARROS.</v>
      </c>
      <c r="N441" s="152">
        <f>+IF(OR($Q441=Parametres!$G$2,$Q441=Parametres!$G$3),I441,C441)</f>
        <v>4069.88</v>
      </c>
      <c r="O441" s="152">
        <f>+IF(OR($Q441=Parametres!$G$2,$Q441=Parametres!$G$3),J441,D441)</f>
        <v>435.2</v>
      </c>
      <c r="P441" s="152">
        <f>+IF(OR($Q441=Parametres!$G$2,$Q441=Parametres!$G$3),K441,E441)</f>
        <v>4505.08</v>
      </c>
      <c r="Q441" s="151" t="str">
        <f t="shared" si="31"/>
        <v>7-Dépenses</v>
      </c>
      <c r="R441" s="150" t="str">
        <f t="shared" si="31"/>
        <v>6194</v>
      </c>
      <c r="S441" s="151">
        <f t="shared" si="31"/>
        <v>0</v>
      </c>
      <c r="T441" s="153">
        <f>+VLOOKUP($L441,Data_Validation!$A:$D,1,0)</f>
        <v>6594</v>
      </c>
      <c r="U441" s="153" t="str">
        <f>+VLOOKUP($L441,Data_Validation!$A:$D,3,0)</f>
        <v>Carrosserie</v>
      </c>
      <c r="V441" s="153" t="str">
        <f>+VLOOKUP($L441,Data_Validation!$A:$D,4,0)</f>
        <v>Honoraires</v>
      </c>
      <c r="W441" s="153" t="str">
        <f>+VLOOKUP($L441,Data_Validation!$A:$E,5,0)</f>
        <v>$</v>
      </c>
      <c r="X441" s="153">
        <f>+VLOOKUP($L441,Data_Validation!$A:$F,6,0)</f>
        <v>0</v>
      </c>
    </row>
    <row r="442" spans="1:24" ht="15" customHeight="1">
      <c r="A442" s="1430" t="s">
        <v>396</v>
      </c>
      <c r="B442" s="1433">
        <v>6703</v>
      </c>
      <c r="C442" s="1432">
        <v>4874.6099999999997</v>
      </c>
      <c r="D442" s="1432">
        <v>1487.05</v>
      </c>
      <c r="E442" s="1432">
        <v>6361.66</v>
      </c>
      <c r="F442" s="1430" t="s">
        <v>398</v>
      </c>
      <c r="G442" s="1430" t="s">
        <v>2458</v>
      </c>
      <c r="H442" s="1241"/>
      <c r="I442" s="1242"/>
      <c r="J442" s="1242"/>
      <c r="K442" s="1242"/>
      <c r="L442" s="150">
        <f t="shared" si="18"/>
        <v>6703</v>
      </c>
      <c r="M442" s="151" t="str">
        <f t="shared" si="19"/>
        <v>RELAT. A LA CLIENTELE &amp; AJUST.</v>
      </c>
      <c r="N442" s="152">
        <f>+IF(OR($Q442=Parametres!$G$2,$Q442=Parametres!$G$3),I442,C442)</f>
        <v>4874.6099999999997</v>
      </c>
      <c r="O442" s="152">
        <f>+IF(OR($Q442=Parametres!$G$2,$Q442=Parametres!$G$3),J442,D442)</f>
        <v>1487.05</v>
      </c>
      <c r="P442" s="152">
        <f>+IF(OR($Q442=Parametres!$G$2,$Q442=Parametres!$G$3),K442,E442)</f>
        <v>6361.66</v>
      </c>
      <c r="Q442" s="151" t="str">
        <f t="shared" si="31"/>
        <v>7-Dépenses</v>
      </c>
      <c r="R442" s="150" t="str">
        <f t="shared" si="31"/>
        <v>6112</v>
      </c>
      <c r="S442" s="151">
        <f t="shared" si="31"/>
        <v>0</v>
      </c>
      <c r="T442" s="153">
        <f>+VLOOKUP($L442,Data_Validation!$A:$D,1,0)</f>
        <v>6703</v>
      </c>
      <c r="U442" s="153" t="str">
        <f>+VLOOKUP($L442,Data_Validation!$A:$D,3,0)</f>
        <v>Pièces</v>
      </c>
      <c r="V442" s="153" t="str">
        <f>+VLOOKUP($L442,Data_Validation!$A:$D,4,0)</f>
        <v>Service gratuit 2</v>
      </c>
      <c r="W442" s="153" t="str">
        <f>+VLOOKUP($L442,Data_Validation!$A:$E,5,0)</f>
        <v>$</v>
      </c>
      <c r="X442" s="153">
        <f>+VLOOKUP($L442,Data_Validation!$A:$F,6,0)</f>
        <v>0</v>
      </c>
    </row>
    <row r="443" spans="1:24" ht="15" customHeight="1">
      <c r="A443" s="1430" t="s">
        <v>1371</v>
      </c>
      <c r="B443" s="1433">
        <v>6714</v>
      </c>
      <c r="C443" s="1432">
        <v>28902.48</v>
      </c>
      <c r="D443" s="1432">
        <v>3210.78</v>
      </c>
      <c r="E443" s="1432">
        <v>32113.26</v>
      </c>
      <c r="F443" s="1430" t="s">
        <v>398</v>
      </c>
      <c r="G443" s="1430" t="s">
        <v>2106</v>
      </c>
      <c r="H443" s="1241"/>
      <c r="I443" s="1242"/>
      <c r="J443" s="1242"/>
      <c r="K443" s="1242"/>
      <c r="L443" s="150">
        <f t="shared" si="18"/>
        <v>6714</v>
      </c>
      <c r="M443" s="151" t="str">
        <f t="shared" si="19"/>
        <v>PUBLICITE</v>
      </c>
      <c r="N443" s="152">
        <f>+IF(OR($Q443=Parametres!$G$2,$Q443=Parametres!$G$3),I443,C443)</f>
        <v>28902.48</v>
      </c>
      <c r="O443" s="152">
        <f>+IF(OR($Q443=Parametres!$G$2,$Q443=Parametres!$G$3),J443,D443)</f>
        <v>3210.78</v>
      </c>
      <c r="P443" s="152">
        <f>+IF(OR($Q443=Parametres!$G$2,$Q443=Parametres!$G$3),K443,E443)</f>
        <v>32113.26</v>
      </c>
      <c r="Q443" s="151" t="str">
        <f t="shared" si="31"/>
        <v>7-Dépenses</v>
      </c>
      <c r="R443" s="150" t="str">
        <f t="shared" si="31"/>
        <v>6114</v>
      </c>
      <c r="S443" s="151">
        <f t="shared" si="31"/>
        <v>0</v>
      </c>
      <c r="T443" s="153">
        <f>+VLOOKUP($L443,Data_Validation!$A:$D,1,0)</f>
        <v>6714</v>
      </c>
      <c r="U443" s="153" t="str">
        <f>+VLOOKUP($L443,Data_Validation!$A:$D,3,0)</f>
        <v>Pièces</v>
      </c>
      <c r="V443" s="153" t="str">
        <f>+VLOOKUP($L443,Data_Validation!$A:$D,4,0)</f>
        <v>Publicité 2</v>
      </c>
      <c r="W443" s="153" t="str">
        <f>+VLOOKUP($L443,Data_Validation!$A:$E,5,0)</f>
        <v>$</v>
      </c>
      <c r="X443" s="153">
        <f>+VLOOKUP($L443,Data_Validation!$A:$F,6,0)</f>
        <v>0</v>
      </c>
    </row>
    <row r="444" spans="1:24" ht="15" customHeight="1">
      <c r="A444" s="1430" t="s">
        <v>1354</v>
      </c>
      <c r="B444" s="1433">
        <v>6721</v>
      </c>
      <c r="C444" s="1432">
        <v>8048.54</v>
      </c>
      <c r="D444" s="1432">
        <v>3348.51</v>
      </c>
      <c r="E444" s="1432">
        <v>11397.05</v>
      </c>
      <c r="F444" s="1430" t="s">
        <v>398</v>
      </c>
      <c r="G444" s="1430" t="s">
        <v>2639</v>
      </c>
      <c r="H444" s="1241"/>
      <c r="I444" s="1242"/>
      <c r="J444" s="1242"/>
      <c r="K444" s="1242"/>
      <c r="L444" s="150">
        <f t="shared" si="18"/>
        <v>6721</v>
      </c>
      <c r="M444" s="151" t="str">
        <f t="shared" si="19"/>
        <v>SALAIRES - PROPRIEATIRES</v>
      </c>
      <c r="N444" s="152">
        <f>+IF(OR($Q444=Parametres!$G$2,$Q444=Parametres!$G$3),I444,C444)</f>
        <v>8048.54</v>
      </c>
      <c r="O444" s="152">
        <f>+IF(OR($Q444=Parametres!$G$2,$Q444=Parametres!$G$3),J444,D444)</f>
        <v>3348.51</v>
      </c>
      <c r="P444" s="152">
        <f>+IF(OR($Q444=Parametres!$G$2,$Q444=Parametres!$G$3),K444,E444)</f>
        <v>11397.05</v>
      </c>
      <c r="Q444" s="151" t="str">
        <f t="shared" si="31"/>
        <v>7-Dépenses</v>
      </c>
      <c r="R444" s="150" t="str">
        <f t="shared" si="31"/>
        <v>6121</v>
      </c>
      <c r="S444" s="151">
        <f t="shared" si="31"/>
        <v>0</v>
      </c>
      <c r="T444" s="153">
        <f>+VLOOKUP($L444,Data_Validation!$A:$D,1,0)</f>
        <v>6721</v>
      </c>
      <c r="U444" s="153" t="str">
        <f>+VLOOKUP($L444,Data_Validation!$A:$D,3,0)</f>
        <v>Pièces</v>
      </c>
      <c r="V444" s="153" t="str">
        <f>+VLOOKUP($L444,Data_Validation!$A:$D,4,0)</f>
        <v>Salaires propriétaire</v>
      </c>
      <c r="W444" s="153" t="str">
        <f>+VLOOKUP($L444,Data_Validation!$A:$E,5,0)</f>
        <v>$</v>
      </c>
      <c r="X444" s="153">
        <f>+VLOOKUP($L444,Data_Validation!$A:$F,6,0)</f>
        <v>0</v>
      </c>
    </row>
    <row r="445" spans="1:24" ht="15" customHeight="1">
      <c r="A445" s="1430" t="s">
        <v>2615</v>
      </c>
      <c r="B445" s="1433">
        <v>6722</v>
      </c>
      <c r="C445" s="1432">
        <v>51678.69</v>
      </c>
      <c r="D445" s="1432">
        <v>4971.8599999999997</v>
      </c>
      <c r="E445" s="1432">
        <v>56650.55</v>
      </c>
      <c r="F445" s="1430" t="s">
        <v>398</v>
      </c>
      <c r="G445" s="1430" t="s">
        <v>2617</v>
      </c>
      <c r="H445" s="1241"/>
      <c r="I445" s="1242"/>
      <c r="J445" s="1242"/>
      <c r="K445" s="1242"/>
      <c r="L445" s="150">
        <f t="shared" si="18"/>
        <v>6722</v>
      </c>
      <c r="M445" s="151" t="str">
        <f t="shared" si="19"/>
        <v>SAL SUPERVISION / GERANT</v>
      </c>
      <c r="N445" s="152">
        <f>+IF(OR($Q445=Parametres!$G$2,$Q445=Parametres!$G$3),I445,C445)</f>
        <v>51678.69</v>
      </c>
      <c r="O445" s="152">
        <f>+IF(OR($Q445=Parametres!$G$2,$Q445=Parametres!$G$3),J445,D445)</f>
        <v>4971.8599999999997</v>
      </c>
      <c r="P445" s="152">
        <f>+IF(OR($Q445=Parametres!$G$2,$Q445=Parametres!$G$3),K445,E445)</f>
        <v>56650.55</v>
      </c>
      <c r="Q445" s="151" t="str">
        <f t="shared" si="31"/>
        <v>7-Dépenses</v>
      </c>
      <c r="R445" s="150" t="str">
        <f t="shared" si="31"/>
        <v>6122</v>
      </c>
      <c r="S445" s="151">
        <f t="shared" si="31"/>
        <v>0</v>
      </c>
      <c r="T445" s="153">
        <f>+VLOOKUP($L445,Data_Validation!$A:$D,1,0)</f>
        <v>6722</v>
      </c>
      <c r="U445" s="153" t="str">
        <f>+VLOOKUP($L445,Data_Validation!$A:$D,3,0)</f>
        <v>Pièces</v>
      </c>
      <c r="V445" s="153" t="str">
        <f>+VLOOKUP($L445,Data_Validation!$A:$D,4,0)</f>
        <v>Salaires cadres</v>
      </c>
      <c r="W445" s="153" t="str">
        <f>+VLOOKUP($L445,Data_Validation!$A:$E,5,0)</f>
        <v>$</v>
      </c>
      <c r="X445" s="153">
        <f>+VLOOKUP($L445,Data_Validation!$A:$F,6,0)</f>
        <v>0</v>
      </c>
    </row>
    <row r="446" spans="1:24" ht="15.75" customHeight="1">
      <c r="A446" s="1430" t="s">
        <v>1339</v>
      </c>
      <c r="B446" s="1433">
        <v>6723</v>
      </c>
      <c r="C446" s="1432">
        <v>36527.43</v>
      </c>
      <c r="D446" s="1432">
        <v>4084.13</v>
      </c>
      <c r="E446" s="1432">
        <v>40611.56</v>
      </c>
      <c r="F446" s="1430" t="s">
        <v>398</v>
      </c>
      <c r="G446" s="1430" t="s">
        <v>2670</v>
      </c>
      <c r="H446" s="1241"/>
      <c r="I446" s="1242"/>
      <c r="J446" s="1242"/>
      <c r="K446" s="1242"/>
      <c r="L446" s="150">
        <f t="shared" si="18"/>
        <v>6723</v>
      </c>
      <c r="M446" s="151" t="str">
        <f t="shared" si="19"/>
        <v>SAL. &amp; RENUM. - CLERICAL</v>
      </c>
      <c r="N446" s="152">
        <f>+IF(OR($Q446=Parametres!$G$2,$Q446=Parametres!$G$3),I446,C446)</f>
        <v>36527.43</v>
      </c>
      <c r="O446" s="152">
        <f>+IF(OR($Q446=Parametres!$G$2,$Q446=Parametres!$G$3),J446,D446)</f>
        <v>4084.13</v>
      </c>
      <c r="P446" s="152">
        <f>+IF(OR($Q446=Parametres!$G$2,$Q446=Parametres!$G$3),K446,E446)</f>
        <v>40611.56</v>
      </c>
      <c r="Q446" s="151" t="str">
        <f t="shared" si="31"/>
        <v>7-Dépenses</v>
      </c>
      <c r="R446" s="150" t="str">
        <f t="shared" si="31"/>
        <v>6123</v>
      </c>
      <c r="S446" s="151">
        <f t="shared" si="31"/>
        <v>0</v>
      </c>
      <c r="T446" s="153">
        <f>+VLOOKUP($L446,Data_Validation!$A:$D,1,0)</f>
        <v>6723</v>
      </c>
      <c r="U446" s="153" t="str">
        <f>+VLOOKUP($L446,Data_Validation!$A:$D,3,0)</f>
        <v>Pièces</v>
      </c>
      <c r="V446" s="153" t="str">
        <f>+VLOOKUP($L446,Data_Validation!$A:$D,4,0)</f>
        <v>Salaires commis</v>
      </c>
      <c r="W446" s="153" t="str">
        <f>+VLOOKUP($L446,Data_Validation!$A:$E,5,0)</f>
        <v>$</v>
      </c>
      <c r="X446" s="153">
        <f>+VLOOKUP($L446,Data_Validation!$A:$F,6,0)</f>
        <v>0</v>
      </c>
    </row>
    <row r="447" spans="1:24" ht="15.75" customHeight="1">
      <c r="A447" s="1430" t="s">
        <v>1246</v>
      </c>
      <c r="B447" s="1433">
        <v>6724</v>
      </c>
      <c r="C447" s="1432">
        <v>178218.59</v>
      </c>
      <c r="D447" s="1432">
        <v>21835.65</v>
      </c>
      <c r="E447" s="1432">
        <v>200054.24</v>
      </c>
      <c r="F447" s="1430" t="s">
        <v>398</v>
      </c>
      <c r="G447" s="1430" t="s">
        <v>2726</v>
      </c>
      <c r="H447" s="1241"/>
      <c r="I447" s="1242"/>
      <c r="J447" s="1242"/>
      <c r="K447" s="1242"/>
      <c r="L447" s="150">
        <f t="shared" si="18"/>
        <v>6724</v>
      </c>
      <c r="M447" s="151" t="str">
        <f t="shared" si="19"/>
        <v>SALAIRES &amp; RENUM. - AUTRES</v>
      </c>
      <c r="N447" s="152">
        <f>+IF(OR($Q447=Parametres!$G$2,$Q447=Parametres!$G$3),I447,C447)</f>
        <v>178218.59</v>
      </c>
      <c r="O447" s="152">
        <f>+IF(OR($Q447=Parametres!$G$2,$Q447=Parametres!$G$3),J447,D447)</f>
        <v>21835.65</v>
      </c>
      <c r="P447" s="152">
        <f>+IF(OR($Q447=Parametres!$G$2,$Q447=Parametres!$G$3),K447,E447)</f>
        <v>200054.24</v>
      </c>
      <c r="Q447" s="151" t="str">
        <f t="shared" si="31"/>
        <v>7-Dépenses</v>
      </c>
      <c r="R447" s="150" t="str">
        <f t="shared" si="31"/>
        <v>6124</v>
      </c>
      <c r="S447" s="151">
        <f t="shared" si="31"/>
        <v>0</v>
      </c>
      <c r="T447" s="153">
        <f>+VLOOKUP($L447,Data_Validation!$A:$D,1,0)</f>
        <v>6724</v>
      </c>
      <c r="U447" s="153" t="str">
        <f>+VLOOKUP($L447,Data_Validation!$A:$D,3,0)</f>
        <v>Pièces</v>
      </c>
      <c r="V447" s="153" t="str">
        <f>+VLOOKUP($L447,Data_Validation!$A:$D,4,0)</f>
        <v>Salaires autres</v>
      </c>
      <c r="W447" s="153" t="str">
        <f>+VLOOKUP($L447,Data_Validation!$A:$E,5,0)</f>
        <v>$</v>
      </c>
      <c r="X447" s="153">
        <f>+VLOOKUP($L447,Data_Validation!$A:$F,6,0)</f>
        <v>0</v>
      </c>
    </row>
    <row r="448" spans="1:24" ht="15" customHeight="1">
      <c r="A448" s="1430" t="s">
        <v>1325</v>
      </c>
      <c r="B448" s="1433">
        <v>6729</v>
      </c>
      <c r="C448" s="1432">
        <v>28391.21</v>
      </c>
      <c r="D448" s="1432">
        <v>3105.04</v>
      </c>
      <c r="E448" s="1432">
        <v>31496.25</v>
      </c>
      <c r="F448" s="1430" t="s">
        <v>398</v>
      </c>
      <c r="G448" s="1430" t="s">
        <v>2632</v>
      </c>
      <c r="H448" s="1241"/>
      <c r="I448" s="1242"/>
      <c r="J448" s="1242"/>
      <c r="K448" s="1242"/>
      <c r="L448" s="150">
        <f t="shared" si="18"/>
        <v>6729</v>
      </c>
      <c r="M448" s="151" t="str">
        <f t="shared" si="19"/>
        <v>ABSENCES, VACANCES, ETC</v>
      </c>
      <c r="N448" s="152">
        <f>+IF(OR($Q448=Parametres!$G$2,$Q448=Parametres!$G$3),I448,C448)</f>
        <v>28391.21</v>
      </c>
      <c r="O448" s="152">
        <f>+IF(OR($Q448=Parametres!$G$2,$Q448=Parametres!$G$3),J448,D448)</f>
        <v>3105.04</v>
      </c>
      <c r="P448" s="152">
        <f>+IF(OR($Q448=Parametres!$G$2,$Q448=Parametres!$G$3),K448,E448)</f>
        <v>31496.25</v>
      </c>
      <c r="Q448" s="151" t="str">
        <f t="shared" si="31"/>
        <v>7-Dépenses</v>
      </c>
      <c r="R448" s="150" t="str">
        <f t="shared" si="31"/>
        <v>6129</v>
      </c>
      <c r="S448" s="151">
        <f t="shared" si="31"/>
        <v>0</v>
      </c>
      <c r="T448" s="153">
        <f>+VLOOKUP($L448,Data_Validation!$A:$D,1,0)</f>
        <v>6729</v>
      </c>
      <c r="U448" s="153" t="str">
        <f>+VLOOKUP($L448,Data_Validation!$A:$D,3,0)</f>
        <v>Pièces</v>
      </c>
      <c r="V448" s="153" t="str">
        <f>+VLOOKUP($L448,Data_Validation!$A:$D,4,0)</f>
        <v>Salaires en absences</v>
      </c>
      <c r="W448" s="153" t="str">
        <f>+VLOOKUP($L448,Data_Validation!$A:$E,5,0)</f>
        <v>$</v>
      </c>
      <c r="X448" s="153">
        <f>+VLOOKUP($L448,Data_Validation!$A:$F,6,0)</f>
        <v>0</v>
      </c>
    </row>
    <row r="449" spans="1:24" ht="15" customHeight="1">
      <c r="A449" s="1430" t="s">
        <v>1249</v>
      </c>
      <c r="B449" s="1433">
        <v>6731</v>
      </c>
      <c r="C449" s="1432">
        <v>-38335.01</v>
      </c>
      <c r="D449" s="1432">
        <v>-4816.26</v>
      </c>
      <c r="E449" s="1432">
        <v>-43151.27</v>
      </c>
      <c r="F449" s="1430" t="s">
        <v>398</v>
      </c>
      <c r="G449" s="1430" t="s">
        <v>2577</v>
      </c>
      <c r="H449" s="1241"/>
      <c r="I449" s="1243"/>
      <c r="J449" s="1243"/>
      <c r="K449" s="1243"/>
      <c r="L449" s="150">
        <f t="shared" si="18"/>
        <v>6731</v>
      </c>
      <c r="M449" s="151" t="str">
        <f t="shared" si="19"/>
        <v>CSST</v>
      </c>
      <c r="N449" s="152">
        <f>+IF(OR($Q449=Parametres!$G$2,$Q449=Parametres!$G$3),I449,C449)</f>
        <v>-38335.01</v>
      </c>
      <c r="O449" s="152">
        <f>+IF(OR($Q449=Parametres!$G$2,$Q449=Parametres!$G$3),J449,D449)</f>
        <v>-4816.26</v>
      </c>
      <c r="P449" s="152">
        <f>+IF(OR($Q449=Parametres!$G$2,$Q449=Parametres!$G$3),K449,E449)</f>
        <v>-43151.27</v>
      </c>
      <c r="Q449" s="151" t="str">
        <f t="shared" si="31"/>
        <v>7-Dépenses</v>
      </c>
      <c r="R449" s="150" t="str">
        <f t="shared" si="31"/>
        <v>6131</v>
      </c>
      <c r="S449" s="151">
        <f t="shared" si="31"/>
        <v>0</v>
      </c>
      <c r="T449" s="153">
        <f>+VLOOKUP($L449,Data_Validation!$A:$D,1,0)</f>
        <v>6731</v>
      </c>
      <c r="U449" s="153" t="str">
        <f>+VLOOKUP($L449,Data_Validation!$A:$D,3,0)</f>
        <v>Pièces</v>
      </c>
      <c r="V449" s="153" t="str">
        <f>+VLOOKUP($L449,Data_Validation!$A:$D,4,0)</f>
        <v>Csst</v>
      </c>
      <c r="W449" s="153" t="str">
        <f>+VLOOKUP($L449,Data_Validation!$A:$E,5,0)</f>
        <v>$</v>
      </c>
      <c r="X449" s="153">
        <f>+VLOOKUP($L449,Data_Validation!$A:$F,6,0)</f>
        <v>0</v>
      </c>
    </row>
    <row r="450" spans="1:24" ht="15" customHeight="1">
      <c r="A450" s="1430" t="s">
        <v>1280</v>
      </c>
      <c r="B450" s="1433">
        <v>6732</v>
      </c>
      <c r="C450" s="1432">
        <v>75226.55</v>
      </c>
      <c r="D450" s="1432">
        <v>8215.92</v>
      </c>
      <c r="E450" s="1432">
        <v>83442.47</v>
      </c>
      <c r="F450" s="1430" t="s">
        <v>398</v>
      </c>
      <c r="G450" s="1430" t="s">
        <v>2676</v>
      </c>
      <c r="H450" s="1241"/>
      <c r="I450" s="1243"/>
      <c r="J450" s="1243"/>
      <c r="K450" s="1243"/>
      <c r="L450" s="150">
        <f t="shared" si="18"/>
        <v>6732</v>
      </c>
      <c r="M450" s="151" t="str">
        <f t="shared" si="19"/>
        <v>RRQ RAMQ AC</v>
      </c>
      <c r="N450" s="152">
        <f>+IF(OR($Q450=Parametres!$G$2,$Q450=Parametres!$G$3),I450,C450)</f>
        <v>75226.55</v>
      </c>
      <c r="O450" s="152">
        <f>+IF(OR($Q450=Parametres!$G$2,$Q450=Parametres!$G$3),J450,D450)</f>
        <v>8215.92</v>
      </c>
      <c r="P450" s="152">
        <f>+IF(OR($Q450=Parametres!$G$2,$Q450=Parametres!$G$3),K450,E450)</f>
        <v>83442.47</v>
      </c>
      <c r="Q450" s="151" t="str">
        <f t="shared" ref="Q450:S465" si="32">+F450</f>
        <v>7-Dépenses</v>
      </c>
      <c r="R450" s="150" t="str">
        <f t="shared" si="32"/>
        <v>6132</v>
      </c>
      <c r="S450" s="151">
        <f t="shared" si="32"/>
        <v>0</v>
      </c>
      <c r="T450" s="153">
        <f>+VLOOKUP($L450,Data_Validation!$A:$D,1,0)</f>
        <v>6732</v>
      </c>
      <c r="U450" s="153" t="str">
        <f>+VLOOKUP($L450,Data_Validation!$A:$D,3,0)</f>
        <v>Pièces</v>
      </c>
      <c r="V450" s="153" t="str">
        <f>+VLOOKUP($L450,Data_Validation!$A:$D,4,0)</f>
        <v>Csst</v>
      </c>
      <c r="W450" s="153" t="str">
        <f>+VLOOKUP($L450,Data_Validation!$A:$E,5,0)</f>
        <v>$</v>
      </c>
      <c r="X450" s="153">
        <f>+VLOOKUP($L450,Data_Validation!$A:$F,6,0)</f>
        <v>0</v>
      </c>
    </row>
    <row r="451" spans="1:24" ht="15" customHeight="1">
      <c r="A451" s="1430" t="s">
        <v>1161</v>
      </c>
      <c r="B451" s="1433">
        <v>6733</v>
      </c>
      <c r="C451" s="1432">
        <v>392.59</v>
      </c>
      <c r="D451" s="1432">
        <v>41.18</v>
      </c>
      <c r="E451" s="1432">
        <v>433.77</v>
      </c>
      <c r="F451" s="1430" t="s">
        <v>398</v>
      </c>
      <c r="G451" s="1430" t="s">
        <v>2570</v>
      </c>
      <c r="H451" s="1241"/>
      <c r="I451" s="1243"/>
      <c r="J451" s="1243"/>
      <c r="K451" s="1243"/>
      <c r="L451" s="150">
        <f t="shared" si="18"/>
        <v>6733</v>
      </c>
      <c r="M451" s="151" t="str">
        <f t="shared" si="19"/>
        <v>FOND PENSION - PIECES</v>
      </c>
      <c r="N451" s="152">
        <f>+IF(OR($Q451=Parametres!$G$2,$Q451=Parametres!$G$3),I451,C451)</f>
        <v>392.59</v>
      </c>
      <c r="O451" s="152">
        <f>+IF(OR($Q451=Parametres!$G$2,$Q451=Parametres!$G$3),J451,D451)</f>
        <v>41.18</v>
      </c>
      <c r="P451" s="152">
        <f>+IF(OR($Q451=Parametres!$G$2,$Q451=Parametres!$G$3),K451,E451)</f>
        <v>433.77</v>
      </c>
      <c r="Q451" s="151" t="str">
        <f t="shared" si="32"/>
        <v>7-Dépenses</v>
      </c>
      <c r="R451" s="150" t="str">
        <f t="shared" si="32"/>
        <v>6133</v>
      </c>
      <c r="S451" s="151">
        <f t="shared" si="32"/>
        <v>0</v>
      </c>
      <c r="T451" s="153">
        <f>+VLOOKUP($L451,Data_Validation!$A:$D,1,0)</f>
        <v>6733</v>
      </c>
      <c r="U451" s="153" t="str">
        <f>+VLOOKUP($L451,Data_Validation!$A:$D,3,0)</f>
        <v>Pièces</v>
      </c>
      <c r="V451" s="153" t="str">
        <f>+VLOOKUP($L451,Data_Validation!$A:$D,4,0)</f>
        <v>Déduction à la source</v>
      </c>
      <c r="W451" s="153" t="str">
        <f>+VLOOKUP($L451,Data_Validation!$A:$E,5,0)</f>
        <v>$</v>
      </c>
      <c r="X451" s="153">
        <f>+VLOOKUP($L451,Data_Validation!$A:$F,6,0)</f>
        <v>0</v>
      </c>
    </row>
    <row r="452" spans="1:24" ht="15.75" customHeight="1">
      <c r="A452" s="1430" t="s">
        <v>1302</v>
      </c>
      <c r="B452" s="1433">
        <v>6739</v>
      </c>
      <c r="C452" s="1432">
        <v>21934.63</v>
      </c>
      <c r="D452" s="1432">
        <v>2113.67</v>
      </c>
      <c r="E452" s="1432">
        <v>24048.3</v>
      </c>
      <c r="F452" s="1430" t="s">
        <v>398</v>
      </c>
      <c r="G452" s="1430" t="s">
        <v>2685</v>
      </c>
      <c r="H452" s="1241"/>
      <c r="I452" s="1243"/>
      <c r="J452" s="1243"/>
      <c r="K452" s="1243"/>
      <c r="L452" s="150">
        <f t="shared" si="18"/>
        <v>6739</v>
      </c>
      <c r="M452" s="151" t="str">
        <f t="shared" si="19"/>
        <v>ASSURANCE GROUPE</v>
      </c>
      <c r="N452" s="152">
        <f>+IF(OR($Q452=Parametres!$G$2,$Q452=Parametres!$G$3),I452,C452)</f>
        <v>21934.63</v>
      </c>
      <c r="O452" s="152">
        <f>+IF(OR($Q452=Parametres!$G$2,$Q452=Parametres!$G$3),J452,D452)</f>
        <v>2113.67</v>
      </c>
      <c r="P452" s="152">
        <f>+IF(OR($Q452=Parametres!$G$2,$Q452=Parametres!$G$3),K452,E452)</f>
        <v>24048.3</v>
      </c>
      <c r="Q452" s="151" t="str">
        <f t="shared" si="32"/>
        <v>7-Dépenses</v>
      </c>
      <c r="R452" s="150" t="str">
        <f t="shared" si="32"/>
        <v>6139</v>
      </c>
      <c r="S452" s="151">
        <f t="shared" si="32"/>
        <v>0</v>
      </c>
      <c r="T452" s="153">
        <f>+VLOOKUP($L452,Data_Validation!$A:$D,1,0)</f>
        <v>6739</v>
      </c>
      <c r="U452" s="153" t="str">
        <f>+VLOOKUP($L452,Data_Validation!$A:$D,3,0)</f>
        <v>Pièces</v>
      </c>
      <c r="V452" s="153" t="str">
        <f>+VLOOKUP($L452,Data_Validation!$A:$D,4,0)</f>
        <v>Bénéfices marginaux</v>
      </c>
      <c r="W452" s="153" t="str">
        <f>+VLOOKUP($L452,Data_Validation!$A:$E,5,0)</f>
        <v>$</v>
      </c>
      <c r="X452" s="153">
        <f>+VLOOKUP($L452,Data_Validation!$A:$F,6,0)</f>
        <v>0</v>
      </c>
    </row>
    <row r="453" spans="1:24" ht="15" customHeight="1">
      <c r="A453" s="1430" t="s">
        <v>1154</v>
      </c>
      <c r="B453" s="1433">
        <v>6742</v>
      </c>
      <c r="C453" s="1432">
        <v>1326.64</v>
      </c>
      <c r="D453" s="1432">
        <v>87.74</v>
      </c>
      <c r="E453" s="1432">
        <v>1414.38</v>
      </c>
      <c r="F453" s="1430" t="s">
        <v>398</v>
      </c>
      <c r="G453" s="1430" t="s">
        <v>2554</v>
      </c>
      <c r="H453" s="1241"/>
      <c r="I453" s="1243"/>
      <c r="J453" s="1243"/>
      <c r="K453" s="1243"/>
      <c r="L453" s="150">
        <f t="shared" si="18"/>
        <v>6742</v>
      </c>
      <c r="M453" s="151" t="str">
        <f t="shared" si="19"/>
        <v>FOURNITURES &amp; PETITS OUTILS</v>
      </c>
      <c r="N453" s="152">
        <f>+IF(OR($Q453=Parametres!$G$2,$Q453=Parametres!$G$3),I453,C453)</f>
        <v>1326.64</v>
      </c>
      <c r="O453" s="152">
        <f>+IF(OR($Q453=Parametres!$G$2,$Q453=Parametres!$G$3),J453,D453)</f>
        <v>87.74</v>
      </c>
      <c r="P453" s="152">
        <f>+IF(OR($Q453=Parametres!$G$2,$Q453=Parametres!$G$3),K453,E453)</f>
        <v>1414.38</v>
      </c>
      <c r="Q453" s="151" t="str">
        <f t="shared" si="32"/>
        <v>7-Dépenses</v>
      </c>
      <c r="R453" s="150" t="str">
        <f t="shared" si="32"/>
        <v>6142</v>
      </c>
      <c r="S453" s="151">
        <f t="shared" si="32"/>
        <v>0</v>
      </c>
      <c r="T453" s="153">
        <f>+VLOOKUP($L453,Data_Validation!$A:$D,1,0)</f>
        <v>6742</v>
      </c>
      <c r="U453" s="153" t="str">
        <f>+VLOOKUP($L453,Data_Validation!$A:$D,3,0)</f>
        <v>Pièces</v>
      </c>
      <c r="V453" s="153" t="str">
        <f>+VLOOKUP($L453,Data_Validation!$A:$D,4,0)</f>
        <v>Fournitures autres</v>
      </c>
      <c r="W453" s="153" t="str">
        <f>+VLOOKUP($L453,Data_Validation!$A:$E,5,0)</f>
        <v>$</v>
      </c>
      <c r="X453" s="153">
        <f>+VLOOKUP($L453,Data_Validation!$A:$F,6,0)</f>
        <v>0</v>
      </c>
    </row>
    <row r="454" spans="1:24" ht="15" customHeight="1">
      <c r="A454" s="1430" t="s">
        <v>931</v>
      </c>
      <c r="B454" s="1433">
        <v>6744</v>
      </c>
      <c r="C454" s="1432">
        <v>449.26</v>
      </c>
      <c r="D454" s="1432">
        <v>22.14</v>
      </c>
      <c r="E454" s="1432">
        <v>471.4</v>
      </c>
      <c r="F454" s="1430" t="s">
        <v>398</v>
      </c>
      <c r="G454" s="1430" t="s">
        <v>2552</v>
      </c>
      <c r="H454" s="1233"/>
      <c r="I454" s="1234"/>
      <c r="J454" s="1234"/>
      <c r="K454" s="1234"/>
      <c r="L454" s="150">
        <f t="shared" si="18"/>
        <v>6744</v>
      </c>
      <c r="M454" s="151" t="str">
        <f t="shared" si="19"/>
        <v>FORMATION</v>
      </c>
      <c r="N454" s="152">
        <f>+IF(OR($Q454=Parametres!$G$2,$Q454=Parametres!$G$3),I454,C454)</f>
        <v>449.26</v>
      </c>
      <c r="O454" s="152">
        <f>+IF(OR($Q454=Parametres!$G$2,$Q454=Parametres!$G$3),J454,D454)</f>
        <v>22.14</v>
      </c>
      <c r="P454" s="152">
        <f>+IF(OR($Q454=Parametres!$G$2,$Q454=Parametres!$G$3),K454,E454)</f>
        <v>471.4</v>
      </c>
      <c r="Q454" s="151" t="str">
        <f t="shared" si="32"/>
        <v>7-Dépenses</v>
      </c>
      <c r="R454" s="150" t="str">
        <f t="shared" si="32"/>
        <v>6144</v>
      </c>
      <c r="S454" s="151">
        <f t="shared" si="32"/>
        <v>0</v>
      </c>
      <c r="T454" s="153">
        <f>+VLOOKUP($L454,Data_Validation!$A:$D,1,0)</f>
        <v>6744</v>
      </c>
      <c r="U454" s="153" t="str">
        <f>+VLOOKUP($L454,Data_Validation!$A:$D,3,0)</f>
        <v>Pièces</v>
      </c>
      <c r="V454" s="153" t="str">
        <f>+VLOOKUP($L454,Data_Validation!$A:$D,4,0)</f>
        <v>Formation</v>
      </c>
      <c r="W454" s="153" t="str">
        <f>+VLOOKUP($L454,Data_Validation!$A:$E,5,0)</f>
        <v>$</v>
      </c>
      <c r="X454" s="153">
        <f>+VLOOKUP($L454,Data_Validation!$A:$F,6,0)</f>
        <v>0</v>
      </c>
    </row>
    <row r="455" spans="1:24" ht="15" customHeight="1">
      <c r="A455" s="1430" t="s">
        <v>1183</v>
      </c>
      <c r="B455" s="1433">
        <v>6745</v>
      </c>
      <c r="C455" s="1432">
        <v>2737.16</v>
      </c>
      <c r="D455" s="1432">
        <v>290.89</v>
      </c>
      <c r="E455" s="1432">
        <v>3028.05</v>
      </c>
      <c r="F455" s="1430" t="s">
        <v>398</v>
      </c>
      <c r="G455" s="1430" t="s">
        <v>2623</v>
      </c>
      <c r="H455" s="1233"/>
      <c r="I455" s="1234"/>
      <c r="J455" s="1234"/>
      <c r="K455" s="1234"/>
      <c r="L455" s="150">
        <f t="shared" si="18"/>
        <v>6745</v>
      </c>
      <c r="M455" s="151" t="str">
        <f t="shared" si="19"/>
        <v>VEHICULE DE COMPAGNIE - DEPENS</v>
      </c>
      <c r="N455" s="152">
        <f>+IF(OR($Q455=Parametres!$G$2,$Q455=Parametres!$G$3),I455,C455)</f>
        <v>2737.16</v>
      </c>
      <c r="O455" s="152">
        <f>+IF(OR($Q455=Parametres!$G$2,$Q455=Parametres!$G$3),J455,D455)</f>
        <v>290.89</v>
      </c>
      <c r="P455" s="152">
        <f>+IF(OR($Q455=Parametres!$G$2,$Q455=Parametres!$G$3),K455,E455)</f>
        <v>3028.05</v>
      </c>
      <c r="Q455" s="151" t="str">
        <f t="shared" si="32"/>
        <v>7-Dépenses</v>
      </c>
      <c r="R455" s="150" t="str">
        <f t="shared" si="32"/>
        <v>6145</v>
      </c>
      <c r="S455" s="151">
        <f t="shared" si="32"/>
        <v>0</v>
      </c>
      <c r="T455" s="153">
        <f>+VLOOKUP($L455,Data_Validation!$A:$D,1,0)</f>
        <v>6745</v>
      </c>
      <c r="U455" s="153" t="str">
        <f>+VLOOKUP($L455,Data_Validation!$A:$D,3,0)</f>
        <v>Pièces</v>
      </c>
      <c r="V455" s="153" t="str">
        <f>+VLOOKUP($L455,Data_Validation!$A:$D,4,0)</f>
        <v>Frais véhicules de cie</v>
      </c>
      <c r="W455" s="153" t="str">
        <f>+VLOOKUP($L455,Data_Validation!$A:$E,5,0)</f>
        <v>$</v>
      </c>
      <c r="X455" s="153">
        <f>+VLOOKUP($L455,Data_Validation!$A:$F,6,0)</f>
        <v>0</v>
      </c>
    </row>
    <row r="456" spans="1:24" ht="15.75" customHeight="1">
      <c r="A456" s="1430" t="s">
        <v>1177</v>
      </c>
      <c r="B456" s="1433">
        <v>6747</v>
      </c>
      <c r="C456" s="1432">
        <v>162.52000000000001</v>
      </c>
      <c r="D456" s="1432">
        <v>105.4</v>
      </c>
      <c r="E456" s="1432">
        <v>267.92</v>
      </c>
      <c r="F456" s="1430" t="s">
        <v>398</v>
      </c>
      <c r="G456" s="1430" t="s">
        <v>2572</v>
      </c>
      <c r="H456" s="1233"/>
      <c r="I456" s="1234"/>
      <c r="J456" s="1234"/>
      <c r="K456" s="1234"/>
      <c r="L456" s="150">
        <f t="shared" si="18"/>
        <v>6747</v>
      </c>
      <c r="M456" s="151" t="str">
        <f t="shared" si="19"/>
        <v>FRET/EXPRESS/TRANS. PAR CAMION</v>
      </c>
      <c r="N456" s="152">
        <f>+IF(OR($Q456=Parametres!$G$2,$Q456=Parametres!$G$3),I456,C456)</f>
        <v>162.52000000000001</v>
      </c>
      <c r="O456" s="152">
        <f>+IF(OR($Q456=Parametres!$G$2,$Q456=Parametres!$G$3),J456,D456)</f>
        <v>105.4</v>
      </c>
      <c r="P456" s="152">
        <f>+IF(OR($Q456=Parametres!$G$2,$Q456=Parametres!$G$3),K456,E456)</f>
        <v>267.92</v>
      </c>
      <c r="Q456" s="151" t="str">
        <f t="shared" si="32"/>
        <v>7-Dépenses</v>
      </c>
      <c r="R456" s="150" t="str">
        <f t="shared" si="32"/>
        <v>6147</v>
      </c>
      <c r="S456" s="151">
        <f t="shared" si="32"/>
        <v>0</v>
      </c>
      <c r="T456" s="153">
        <f>+VLOOKUP($L456,Data_Validation!$A:$D,1,0)</f>
        <v>6747</v>
      </c>
      <c r="U456" s="153" t="str">
        <f>+VLOOKUP($L456,Data_Validation!$A:$D,3,0)</f>
        <v>Pièces</v>
      </c>
      <c r="V456" s="153" t="str">
        <f>+VLOOKUP($L456,Data_Validation!$A:$D,4,0)</f>
        <v>Frais postaux</v>
      </c>
      <c r="W456" s="153" t="str">
        <f>+VLOOKUP($L456,Data_Validation!$A:$E,5,0)</f>
        <v>$</v>
      </c>
      <c r="X456" s="153">
        <f>+VLOOKUP($L456,Data_Validation!$A:$F,6,0)</f>
        <v>0</v>
      </c>
    </row>
    <row r="457" spans="1:24" ht="15" customHeight="1">
      <c r="A457" s="1430" t="s">
        <v>1283</v>
      </c>
      <c r="B457" s="1433">
        <v>6751</v>
      </c>
      <c r="C457" s="1432">
        <v>33555.99</v>
      </c>
      <c r="D457" s="1432">
        <v>3706.64</v>
      </c>
      <c r="E457" s="1432">
        <v>37262.629999999997</v>
      </c>
      <c r="F457" s="1430" t="s">
        <v>398</v>
      </c>
      <c r="G457" s="1430" t="s">
        <v>2693</v>
      </c>
      <c r="H457" s="1233"/>
      <c r="I457" s="1234"/>
      <c r="J457" s="1234"/>
      <c r="K457" s="1234"/>
      <c r="L457" s="150">
        <f t="shared" si="18"/>
        <v>6751</v>
      </c>
      <c r="M457" s="151" t="str">
        <f t="shared" si="19"/>
        <v>DEP. DU TRAITEMENT DES DONNEES</v>
      </c>
      <c r="N457" s="152">
        <f>+IF(OR($Q457=Parametres!$G$2,$Q457=Parametres!$G$3),I457,C457)</f>
        <v>33555.99</v>
      </c>
      <c r="O457" s="152">
        <f>+IF(OR($Q457=Parametres!$G$2,$Q457=Parametres!$G$3),J457,D457)</f>
        <v>3706.64</v>
      </c>
      <c r="P457" s="152">
        <f>+IF(OR($Q457=Parametres!$G$2,$Q457=Parametres!$G$3),K457,E457)</f>
        <v>37262.629999999997</v>
      </c>
      <c r="Q457" s="151" t="str">
        <f t="shared" si="32"/>
        <v>7-Dépenses</v>
      </c>
      <c r="R457" s="150" t="str">
        <f t="shared" si="32"/>
        <v>6151</v>
      </c>
      <c r="S457" s="151">
        <f t="shared" si="32"/>
        <v>0</v>
      </c>
      <c r="T457" s="153">
        <f>+VLOOKUP($L457,Data_Validation!$A:$D,1,0)</f>
        <v>6751</v>
      </c>
      <c r="U457" s="153" t="str">
        <f>+VLOOKUP($L457,Data_Validation!$A:$D,3,0)</f>
        <v>Pièces</v>
      </c>
      <c r="V457" s="153" t="str">
        <f>+VLOOKUP($L457,Data_Validation!$A:$D,4,0)</f>
        <v>Informatique</v>
      </c>
      <c r="W457" s="153" t="str">
        <f>+VLOOKUP($L457,Data_Validation!$A:$E,5,0)</f>
        <v>$</v>
      </c>
      <c r="X457" s="153">
        <f>+VLOOKUP($L457,Data_Validation!$A:$F,6,0)</f>
        <v>0</v>
      </c>
    </row>
    <row r="458" spans="1:24" ht="15" customHeight="1">
      <c r="A458" s="1430" t="s">
        <v>1203</v>
      </c>
      <c r="B458" s="1433">
        <v>6752</v>
      </c>
      <c r="C458" s="1432">
        <v>4195.03</v>
      </c>
      <c r="D458" s="1432">
        <v>642.08000000000004</v>
      </c>
      <c r="E458" s="1432">
        <v>4837.1099999999997</v>
      </c>
      <c r="F458" s="1430" t="s">
        <v>398</v>
      </c>
      <c r="G458" s="1430" t="s">
        <v>2579</v>
      </c>
      <c r="H458" s="1233"/>
      <c r="I458" s="1234"/>
      <c r="J458" s="1234"/>
      <c r="K458" s="1234"/>
      <c r="L458" s="150">
        <f t="shared" si="18"/>
        <v>6752</v>
      </c>
      <c r="M458" s="151" t="str">
        <f t="shared" si="19"/>
        <v>PAPETERIE</v>
      </c>
      <c r="N458" s="152">
        <f>+IF(OR($Q458=Parametres!$G$2,$Q458=Parametres!$G$3),I458,C458)</f>
        <v>4195.03</v>
      </c>
      <c r="O458" s="152">
        <f>+IF(OR($Q458=Parametres!$G$2,$Q458=Parametres!$G$3),J458,D458)</f>
        <v>642.08000000000004</v>
      </c>
      <c r="P458" s="152">
        <f>+IF(OR($Q458=Parametres!$G$2,$Q458=Parametres!$G$3),K458,E458)</f>
        <v>4837.1099999999997</v>
      </c>
      <c r="Q458" s="151" t="str">
        <f t="shared" si="32"/>
        <v>7-Dépenses</v>
      </c>
      <c r="R458" s="150" t="str">
        <f t="shared" si="32"/>
        <v>6152</v>
      </c>
      <c r="S458" s="151">
        <f t="shared" si="32"/>
        <v>0</v>
      </c>
      <c r="T458" s="153">
        <f>+VLOOKUP($L458,Data_Validation!$A:$D,1,0)</f>
        <v>6752</v>
      </c>
      <c r="U458" s="153" t="str">
        <f>+VLOOKUP($L458,Data_Validation!$A:$D,3,0)</f>
        <v>Pièces</v>
      </c>
      <c r="V458" s="153" t="str">
        <f>+VLOOKUP($L458,Data_Validation!$A:$D,4,0)</f>
        <v>Papeterie</v>
      </c>
      <c r="W458" s="153" t="str">
        <f>+VLOOKUP($L458,Data_Validation!$A:$E,5,0)</f>
        <v>$</v>
      </c>
      <c r="X458" s="153">
        <f>+VLOOKUP($L458,Data_Validation!$A:$F,6,0)</f>
        <v>0</v>
      </c>
    </row>
    <row r="459" spans="1:24" ht="15" customHeight="1">
      <c r="A459" s="1430" t="s">
        <v>1151</v>
      </c>
      <c r="B459" s="1433">
        <v>6753</v>
      </c>
      <c r="C459" s="1432">
        <v>1446.57</v>
      </c>
      <c r="D459" s="1432">
        <v>78.47</v>
      </c>
      <c r="E459" s="1432">
        <v>1525.04</v>
      </c>
      <c r="F459" s="1430" t="s">
        <v>398</v>
      </c>
      <c r="G459" s="1430" t="s">
        <v>2583</v>
      </c>
      <c r="H459" s="1233"/>
      <c r="I459" s="1234"/>
      <c r="J459" s="1234"/>
      <c r="K459" s="1234"/>
      <c r="L459" s="150">
        <f t="shared" si="18"/>
        <v>6753</v>
      </c>
      <c r="M459" s="151" t="str">
        <f t="shared" si="19"/>
        <v>TELEPHONE ET TELEX</v>
      </c>
      <c r="N459" s="152">
        <f>+IF(OR($Q459=Parametres!$G$2,$Q459=Parametres!$G$3),I459,C459)</f>
        <v>1446.57</v>
      </c>
      <c r="O459" s="152">
        <f>+IF(OR($Q459=Parametres!$G$2,$Q459=Parametres!$G$3),J459,D459)</f>
        <v>78.47</v>
      </c>
      <c r="P459" s="152">
        <f>+IF(OR($Q459=Parametres!$G$2,$Q459=Parametres!$G$3),K459,E459)</f>
        <v>1525.04</v>
      </c>
      <c r="Q459" s="151" t="str">
        <f t="shared" si="32"/>
        <v>7-Dépenses</v>
      </c>
      <c r="R459" s="150" t="str">
        <f t="shared" si="32"/>
        <v>6153</v>
      </c>
      <c r="S459" s="151">
        <f t="shared" si="32"/>
        <v>0</v>
      </c>
      <c r="T459" s="153">
        <f>+VLOOKUP($L459,Data_Validation!$A:$D,1,0)</f>
        <v>6753</v>
      </c>
      <c r="U459" s="153" t="str">
        <f>+VLOOKUP($L459,Data_Validation!$A:$D,3,0)</f>
        <v>Pièces</v>
      </c>
      <c r="V459" s="153" t="str">
        <f>+VLOOKUP($L459,Data_Validation!$A:$D,4,0)</f>
        <v>Téléphone</v>
      </c>
      <c r="W459" s="153" t="str">
        <f>+VLOOKUP($L459,Data_Validation!$A:$E,5,0)</f>
        <v>$</v>
      </c>
      <c r="X459" s="153">
        <f>+VLOOKUP($L459,Data_Validation!$A:$F,6,0)</f>
        <v>0</v>
      </c>
    </row>
    <row r="460" spans="1:24" ht="15" customHeight="1">
      <c r="A460" s="1430" t="s">
        <v>1234</v>
      </c>
      <c r="B460" s="1433">
        <v>6755</v>
      </c>
      <c r="C460" s="1432">
        <v>4702.1099999999997</v>
      </c>
      <c r="D460" s="1432">
        <v>1060.81</v>
      </c>
      <c r="E460" s="1432">
        <v>5762.92</v>
      </c>
      <c r="F460" s="1430" t="s">
        <v>398</v>
      </c>
      <c r="G460" s="1430" t="s">
        <v>2628</v>
      </c>
      <c r="H460" s="1233"/>
      <c r="I460" s="1234"/>
      <c r="J460" s="1234"/>
      <c r="K460" s="1234"/>
      <c r="L460" s="150">
        <f t="shared" si="18"/>
        <v>6755</v>
      </c>
      <c r="M460" s="151" t="str">
        <f t="shared" si="19"/>
        <v>DEPENSES DIVERS</v>
      </c>
      <c r="N460" s="152">
        <f>+IF(OR($Q460=Parametres!$G$2,$Q460=Parametres!$G$3),I460,C460)</f>
        <v>4702.1099999999997</v>
      </c>
      <c r="O460" s="152">
        <f>+IF(OR($Q460=Parametres!$G$2,$Q460=Parametres!$G$3),J460,D460)</f>
        <v>1060.81</v>
      </c>
      <c r="P460" s="152">
        <f>+IF(OR($Q460=Parametres!$G$2,$Q460=Parametres!$G$3),K460,E460)</f>
        <v>5762.92</v>
      </c>
      <c r="Q460" s="151" t="str">
        <f t="shared" si="32"/>
        <v>7-Dépenses</v>
      </c>
      <c r="R460" s="150" t="str">
        <f t="shared" si="32"/>
        <v>6155</v>
      </c>
      <c r="S460" s="151">
        <f t="shared" si="32"/>
        <v>0</v>
      </c>
      <c r="T460" s="153">
        <f>+VLOOKUP($L460,Data_Validation!$A:$D,1,0)</f>
        <v>6755</v>
      </c>
      <c r="U460" s="153" t="str">
        <f>+VLOOKUP($L460,Data_Validation!$A:$D,3,0)</f>
        <v>Pièces</v>
      </c>
      <c r="V460" s="153" t="str">
        <f>+VLOOKUP($L460,Data_Validation!$A:$D,4,0)</f>
        <v>Divers</v>
      </c>
      <c r="W460" s="153" t="str">
        <f>+VLOOKUP($L460,Data_Validation!$A:$E,5,0)</f>
        <v>$</v>
      </c>
      <c r="X460" s="153">
        <f>+VLOOKUP($L460,Data_Validation!$A:$F,6,0)</f>
        <v>0</v>
      </c>
    </row>
    <row r="461" spans="1:24" ht="15" customHeight="1">
      <c r="A461" s="1430" t="s">
        <v>1291</v>
      </c>
      <c r="B461" s="1433">
        <v>6756</v>
      </c>
      <c r="C461" s="1432">
        <v>3077.82</v>
      </c>
      <c r="D461" s="1432">
        <v>638.12</v>
      </c>
      <c r="E461" s="1432">
        <v>3715.94</v>
      </c>
      <c r="F461" s="1430" t="s">
        <v>398</v>
      </c>
      <c r="G461" s="1430" t="s">
        <v>2461</v>
      </c>
      <c r="H461" s="1233"/>
      <c r="I461" s="1234"/>
      <c r="J461" s="1234"/>
      <c r="K461" s="1234"/>
      <c r="L461" s="150">
        <f t="shared" si="18"/>
        <v>6756</v>
      </c>
      <c r="M461" s="151" t="str">
        <f t="shared" si="19"/>
        <v>FRAIS REPRESENTATION - PIECES</v>
      </c>
      <c r="N461" s="152">
        <f>+IF(OR($Q461=Parametres!$G$2,$Q461=Parametres!$G$3),I461,C461)</f>
        <v>3077.82</v>
      </c>
      <c r="O461" s="152">
        <f>+IF(OR($Q461=Parametres!$G$2,$Q461=Parametres!$G$3),J461,D461)</f>
        <v>638.12</v>
      </c>
      <c r="P461" s="152">
        <f>+IF(OR($Q461=Parametres!$G$2,$Q461=Parametres!$G$3),K461,E461)</f>
        <v>3715.94</v>
      </c>
      <c r="Q461" s="151" t="str">
        <f t="shared" si="32"/>
        <v>7-Dépenses</v>
      </c>
      <c r="R461" s="150" t="str">
        <f t="shared" si="32"/>
        <v>6156</v>
      </c>
      <c r="S461" s="151">
        <f t="shared" si="32"/>
        <v>0</v>
      </c>
      <c r="T461" s="153">
        <f>+VLOOKUP($L461,Data_Validation!$A:$D,1,0)</f>
        <v>6756</v>
      </c>
      <c r="U461" s="153" t="str">
        <f>+VLOOKUP($L461,Data_Validation!$A:$D,3,0)</f>
        <v>Pièces</v>
      </c>
      <c r="V461" s="153" t="str">
        <f>+VLOOKUP($L461,Data_Validation!$A:$D,4,0)</f>
        <v>Frais de déplacement</v>
      </c>
      <c r="W461" s="153" t="str">
        <f>+VLOOKUP($L461,Data_Validation!$A:$E,5,0)</f>
        <v>$</v>
      </c>
      <c r="X461" s="153">
        <f>+VLOOKUP($L461,Data_Validation!$A:$F,6,0)</f>
        <v>0</v>
      </c>
    </row>
    <row r="462" spans="1:24" ht="15.75" customHeight="1">
      <c r="A462" s="1430" t="s">
        <v>1305</v>
      </c>
      <c r="B462" s="1433">
        <v>6759</v>
      </c>
      <c r="C462" s="1432">
        <v>52233.55</v>
      </c>
      <c r="D462" s="1432">
        <v>6984.46</v>
      </c>
      <c r="E462" s="1432">
        <v>59218.01</v>
      </c>
      <c r="F462" s="1430" t="s">
        <v>398</v>
      </c>
      <c r="G462" s="1430" t="s">
        <v>2653</v>
      </c>
      <c r="H462" s="1233"/>
      <c r="I462" s="1234"/>
      <c r="J462" s="1234"/>
      <c r="K462" s="1234"/>
      <c r="L462" s="150">
        <f t="shared" si="18"/>
        <v>6759</v>
      </c>
      <c r="M462" s="151" t="str">
        <f t="shared" si="19"/>
        <v>SERVICE EXTERIEUR</v>
      </c>
      <c r="N462" s="152">
        <f>+IF(OR($Q462=Parametres!$G$2,$Q462=Parametres!$G$3),I462,C462)</f>
        <v>52233.55</v>
      </c>
      <c r="O462" s="152">
        <f>+IF(OR($Q462=Parametres!$G$2,$Q462=Parametres!$G$3),J462,D462)</f>
        <v>6984.46</v>
      </c>
      <c r="P462" s="152">
        <f>+IF(OR($Q462=Parametres!$G$2,$Q462=Parametres!$G$3),K462,E462)</f>
        <v>59218.01</v>
      </c>
      <c r="Q462" s="151" t="str">
        <f t="shared" si="32"/>
        <v>7-Dépenses</v>
      </c>
      <c r="R462" s="150" t="str">
        <f t="shared" si="32"/>
        <v>6159</v>
      </c>
      <c r="S462" s="151">
        <f t="shared" si="32"/>
        <v>0</v>
      </c>
      <c r="T462" s="153">
        <f>+VLOOKUP($L462,Data_Validation!$A:$D,1,0)</f>
        <v>6759</v>
      </c>
      <c r="U462" s="153" t="str">
        <f>+VLOOKUP($L462,Data_Validation!$A:$D,3,0)</f>
        <v>Pièces</v>
      </c>
      <c r="V462" s="153" t="str">
        <f>+VLOOKUP($L462,Data_Validation!$A:$D,4,0)</f>
        <v>Services extérieurs</v>
      </c>
      <c r="W462" s="153" t="str">
        <f>+VLOOKUP($L462,Data_Validation!$A:$E,5,0)</f>
        <v>$</v>
      </c>
      <c r="X462" s="153">
        <f>+VLOOKUP($L462,Data_Validation!$A:$F,6,0)</f>
        <v>0</v>
      </c>
    </row>
    <row r="463" spans="1:24" ht="15" customHeight="1">
      <c r="A463" s="1430" t="s">
        <v>1330</v>
      </c>
      <c r="B463" s="1433">
        <v>6761</v>
      </c>
      <c r="C463" s="1432">
        <v>9906.23</v>
      </c>
      <c r="D463" s="1432">
        <v>1078.6199999999999</v>
      </c>
      <c r="E463" s="1432">
        <v>10984.85</v>
      </c>
      <c r="F463" s="1430" t="s">
        <v>398</v>
      </c>
      <c r="G463" s="1430" t="s">
        <v>2644</v>
      </c>
      <c r="H463" s="1233"/>
      <c r="I463" s="1234"/>
      <c r="J463" s="1234"/>
      <c r="K463" s="1234"/>
      <c r="L463" s="150">
        <f t="shared" si="18"/>
        <v>6761</v>
      </c>
      <c r="M463" s="151" t="str">
        <f t="shared" si="19"/>
        <v>DEPRECIATION EQUIP. &amp; FIXTURES</v>
      </c>
      <c r="N463" s="152">
        <f>+IF(OR($Q463=Parametres!$G$2,$Q463=Parametres!$G$3),I463,C463)</f>
        <v>9906.23</v>
      </c>
      <c r="O463" s="152">
        <f>+IF(OR($Q463=Parametres!$G$2,$Q463=Parametres!$G$3),J463,D463)</f>
        <v>1078.6199999999999</v>
      </c>
      <c r="P463" s="152">
        <f>+IF(OR($Q463=Parametres!$G$2,$Q463=Parametres!$G$3),K463,E463)</f>
        <v>10984.85</v>
      </c>
      <c r="Q463" s="151" t="str">
        <f t="shared" si="32"/>
        <v>7-Dépenses</v>
      </c>
      <c r="R463" s="150" t="str">
        <f t="shared" si="32"/>
        <v>6161</v>
      </c>
      <c r="S463" s="151">
        <f t="shared" si="32"/>
        <v>0</v>
      </c>
      <c r="T463" s="153">
        <f>+VLOOKUP($L463,Data_Validation!$A:$D,1,0)</f>
        <v>6761</v>
      </c>
      <c r="U463" s="153" t="str">
        <f>+VLOOKUP($L463,Data_Validation!$A:$D,3,0)</f>
        <v>Pièces</v>
      </c>
      <c r="V463" s="153" t="str">
        <f>+VLOOKUP($L463,Data_Validation!$A:$D,4,0)</f>
        <v>Amortissement</v>
      </c>
      <c r="W463" s="153" t="str">
        <f>+VLOOKUP($L463,Data_Validation!$A:$E,5,0)</f>
        <v>$</v>
      </c>
      <c r="X463" s="153">
        <f>+VLOOKUP($L463,Data_Validation!$A:$F,6,0)</f>
        <v>0</v>
      </c>
    </row>
    <row r="464" spans="1:24" ht="15" customHeight="1">
      <c r="A464" s="1430" t="s">
        <v>1313</v>
      </c>
      <c r="B464" s="1433">
        <v>6781</v>
      </c>
      <c r="C464" s="1432">
        <v>5592.1</v>
      </c>
      <c r="D464" s="1432">
        <v>943.73</v>
      </c>
      <c r="E464" s="1432">
        <v>6535.83</v>
      </c>
      <c r="F464" s="1430" t="s">
        <v>398</v>
      </c>
      <c r="G464" s="1430" t="s">
        <v>2595</v>
      </c>
      <c r="H464" s="1233"/>
      <c r="I464" s="1234"/>
      <c r="J464" s="1234"/>
      <c r="K464" s="1234"/>
      <c r="L464" s="150">
        <f t="shared" si="18"/>
        <v>6781</v>
      </c>
      <c r="M464" s="151" t="str">
        <f t="shared" si="19"/>
        <v>CHAUFFAGE,ELECTRICITE,EAU-PIECES</v>
      </c>
      <c r="N464" s="152">
        <f>+IF(OR($Q464=Parametres!$G$2,$Q464=Parametres!$G$3),I464,C464)</f>
        <v>5592.1</v>
      </c>
      <c r="O464" s="152">
        <f>+IF(OR($Q464=Parametres!$G$2,$Q464=Parametres!$G$3),J464,D464)</f>
        <v>943.73</v>
      </c>
      <c r="P464" s="152">
        <f>+IF(OR($Q464=Parametres!$G$2,$Q464=Parametres!$G$3),K464,E464)</f>
        <v>6535.83</v>
      </c>
      <c r="Q464" s="151" t="str">
        <f t="shared" si="32"/>
        <v>7-Dépenses</v>
      </c>
      <c r="R464" s="150" t="str">
        <f t="shared" si="32"/>
        <v>6181</v>
      </c>
      <c r="S464" s="151">
        <f t="shared" si="32"/>
        <v>0</v>
      </c>
      <c r="T464" s="153">
        <f>+VLOOKUP($L464,Data_Validation!$A:$D,1,0)</f>
        <v>6781</v>
      </c>
      <c r="U464" s="153" t="str">
        <f>+VLOOKUP($L464,Data_Validation!$A:$D,3,0)</f>
        <v>Pièces</v>
      </c>
      <c r="V464" s="153" t="str">
        <f>+VLOOKUP($L464,Data_Validation!$A:$D,4,0)</f>
        <v>Chauffage, éclairage</v>
      </c>
      <c r="W464" s="153" t="str">
        <f>+VLOOKUP($L464,Data_Validation!$A:$E,5,0)</f>
        <v>$</v>
      </c>
      <c r="X464" s="153">
        <f>+VLOOKUP($L464,Data_Validation!$A:$F,6,0)</f>
        <v>0</v>
      </c>
    </row>
    <row r="465" spans="1:24" ht="15" customHeight="1">
      <c r="A465" s="1430" t="s">
        <v>1454</v>
      </c>
      <c r="B465" s="1433">
        <v>6782</v>
      </c>
      <c r="C465" s="1432">
        <v>58500</v>
      </c>
      <c r="D465" s="1432">
        <v>6500</v>
      </c>
      <c r="E465" s="1432">
        <v>65000</v>
      </c>
      <c r="F465" s="1430" t="s">
        <v>398</v>
      </c>
      <c r="G465" s="1430" t="s">
        <v>2700</v>
      </c>
      <c r="H465" s="1233"/>
      <c r="I465" s="1234"/>
      <c r="J465" s="1234"/>
      <c r="K465" s="1234"/>
      <c r="L465" s="150">
        <f t="shared" si="18"/>
        <v>6782</v>
      </c>
      <c r="M465" s="151" t="str">
        <f t="shared" si="19"/>
        <v>LOYER - PIECES</v>
      </c>
      <c r="N465" s="152">
        <f>+IF(OR($Q465=Parametres!$G$2,$Q465=Parametres!$G$3),I465,C465)</f>
        <v>58500</v>
      </c>
      <c r="O465" s="152">
        <f>+IF(OR($Q465=Parametres!$G$2,$Q465=Parametres!$G$3),J465,D465)</f>
        <v>6500</v>
      </c>
      <c r="P465" s="152">
        <f>+IF(OR($Q465=Parametres!$G$2,$Q465=Parametres!$G$3),K465,E465)</f>
        <v>65000</v>
      </c>
      <c r="Q465" s="151" t="str">
        <f t="shared" si="32"/>
        <v>7-Dépenses</v>
      </c>
      <c r="R465" s="150" t="str">
        <f t="shared" si="32"/>
        <v>6182</v>
      </c>
      <c r="S465" s="151">
        <f t="shared" si="32"/>
        <v>0</v>
      </c>
      <c r="T465" s="153">
        <f>+VLOOKUP($L465,Data_Validation!$A:$D,1,0)</f>
        <v>6782</v>
      </c>
      <c r="U465" s="153" t="str">
        <f>+VLOOKUP($L465,Data_Validation!$A:$D,3,0)</f>
        <v>Pièces</v>
      </c>
      <c r="V465" s="153" t="str">
        <f>+VLOOKUP($L465,Data_Validation!$A:$D,4,0)</f>
        <v>Loyer</v>
      </c>
      <c r="W465" s="153" t="str">
        <f>+VLOOKUP($L465,Data_Validation!$A:$E,5,0)</f>
        <v>$</v>
      </c>
      <c r="X465" s="153">
        <f>+VLOOKUP($L465,Data_Validation!$A:$F,6,0)</f>
        <v>0</v>
      </c>
    </row>
    <row r="466" spans="1:24" ht="15" customHeight="1">
      <c r="A466" s="1430" t="s">
        <v>1349</v>
      </c>
      <c r="B466" s="1433">
        <v>6786</v>
      </c>
      <c r="C466" s="1432">
        <v>8343.18</v>
      </c>
      <c r="D466" s="1432">
        <v>927.02</v>
      </c>
      <c r="E466" s="1432">
        <v>9270.2000000000007</v>
      </c>
      <c r="F466" s="1430" t="s">
        <v>398</v>
      </c>
      <c r="G466" s="1430" t="s">
        <v>2585</v>
      </c>
      <c r="H466" s="1233"/>
      <c r="I466" s="1234"/>
      <c r="J466" s="1234"/>
      <c r="K466" s="1234"/>
      <c r="L466" s="150">
        <f t="shared" si="18"/>
        <v>6786</v>
      </c>
      <c r="M466" s="151" t="str">
        <f t="shared" si="19"/>
        <v>ASSURANCE BATISSE &amp; AMEL.-PIECES</v>
      </c>
      <c r="N466" s="152">
        <f>+IF(OR($Q466=Parametres!$G$2,$Q466=Parametres!$G$3),I466,C466)</f>
        <v>8343.18</v>
      </c>
      <c r="O466" s="152">
        <f>+IF(OR($Q466=Parametres!$G$2,$Q466=Parametres!$G$3),J466,D466)</f>
        <v>927.02</v>
      </c>
      <c r="P466" s="152">
        <f>+IF(OR($Q466=Parametres!$G$2,$Q466=Parametres!$G$3),K466,E466)</f>
        <v>9270.2000000000007</v>
      </c>
      <c r="Q466" s="151" t="str">
        <f t="shared" ref="Q466:S481" si="33">+F466</f>
        <v>7-Dépenses</v>
      </c>
      <c r="R466" s="150" t="str">
        <f t="shared" si="33"/>
        <v>6186</v>
      </c>
      <c r="S466" s="151">
        <f t="shared" si="33"/>
        <v>0</v>
      </c>
      <c r="T466" s="153">
        <f>+VLOOKUP($L466,Data_Validation!$A:$D,1,0)</f>
        <v>6786</v>
      </c>
      <c r="U466" s="153" t="str">
        <f>+VLOOKUP($L466,Data_Validation!$A:$D,3,0)</f>
        <v>Pièces</v>
      </c>
      <c r="V466" s="153" t="str">
        <f>+VLOOKUP($L466,Data_Validation!$A:$D,4,0)</f>
        <v>Assurances</v>
      </c>
      <c r="W466" s="153" t="str">
        <f>+VLOOKUP($L466,Data_Validation!$A:$E,5,0)</f>
        <v>$</v>
      </c>
      <c r="X466" s="153">
        <f>+VLOOKUP($L466,Data_Validation!$A:$F,6,0)</f>
        <v>0</v>
      </c>
    </row>
    <row r="467" spans="1:24" ht="15.75" customHeight="1">
      <c r="A467" s="1430" t="s">
        <v>1341</v>
      </c>
      <c r="B467" s="1433">
        <v>6787</v>
      </c>
      <c r="C467" s="1432">
        <v>10822.5</v>
      </c>
      <c r="D467" s="1432">
        <v>1202.5</v>
      </c>
      <c r="E467" s="1432">
        <v>12025</v>
      </c>
      <c r="F467" s="1430" t="s">
        <v>398</v>
      </c>
      <c r="G467" s="1430" t="s">
        <v>2605</v>
      </c>
      <c r="H467" s="1233"/>
      <c r="I467" s="1234"/>
      <c r="J467" s="1234"/>
      <c r="K467" s="1234"/>
      <c r="L467" s="150">
        <f t="shared" si="18"/>
        <v>6787</v>
      </c>
      <c r="M467" s="151" t="str">
        <f t="shared" si="19"/>
        <v>TAXES FONCIERES - PIECES</v>
      </c>
      <c r="N467" s="152">
        <f>+IF(OR($Q467=Parametres!$G$2,$Q467=Parametres!$G$3),I467,C467)</f>
        <v>10822.5</v>
      </c>
      <c r="O467" s="152">
        <f>+IF(OR($Q467=Parametres!$G$2,$Q467=Parametres!$G$3),J467,D467)</f>
        <v>1202.5</v>
      </c>
      <c r="P467" s="152">
        <f>+IF(OR($Q467=Parametres!$G$2,$Q467=Parametres!$G$3),K467,E467)</f>
        <v>12025</v>
      </c>
      <c r="Q467" s="151" t="str">
        <f t="shared" si="33"/>
        <v>7-Dépenses</v>
      </c>
      <c r="R467" s="150" t="str">
        <f t="shared" si="33"/>
        <v>6187</v>
      </c>
      <c r="S467" s="151">
        <f t="shared" si="33"/>
        <v>0</v>
      </c>
      <c r="T467" s="153">
        <f>+VLOOKUP($L467,Data_Validation!$A:$D,1,0)</f>
        <v>6787</v>
      </c>
      <c r="U467" s="153" t="str">
        <f>+VLOOKUP($L467,Data_Validation!$A:$D,3,0)</f>
        <v>Pièces</v>
      </c>
      <c r="V467" s="153" t="str">
        <f>+VLOOKUP($L467,Data_Validation!$A:$D,4,0)</f>
        <v>Taxes foncières</v>
      </c>
      <c r="W467" s="153" t="str">
        <f>+VLOOKUP($L467,Data_Validation!$A:$E,5,0)</f>
        <v>$</v>
      </c>
      <c r="X467" s="153">
        <f>+VLOOKUP($L467,Data_Validation!$A:$F,6,0)</f>
        <v>0</v>
      </c>
    </row>
    <row r="468" spans="1:24" ht="15" customHeight="1">
      <c r="A468" s="1430" t="s">
        <v>1275</v>
      </c>
      <c r="B468" s="1433">
        <v>6793</v>
      </c>
      <c r="C468" s="1432">
        <v>7200</v>
      </c>
      <c r="D468" s="1432">
        <v>800</v>
      </c>
      <c r="E468" s="1432">
        <v>8000</v>
      </c>
      <c r="F468" s="1430" t="s">
        <v>398</v>
      </c>
      <c r="G468" s="1430" t="s">
        <v>2588</v>
      </c>
      <c r="H468" s="1233"/>
      <c r="I468" s="1234"/>
      <c r="J468" s="1234"/>
      <c r="K468" s="1234"/>
      <c r="L468" s="150">
        <f t="shared" si="18"/>
        <v>6793</v>
      </c>
      <c r="M468" s="151" t="str">
        <f t="shared" si="19"/>
        <v>AUTRES TAXES - PIECES</v>
      </c>
      <c r="N468" s="152">
        <f>+IF(OR($Q468=Parametres!$G$2,$Q468=Parametres!$G$3),I468,C468)</f>
        <v>7200</v>
      </c>
      <c r="O468" s="152">
        <f>+IF(OR($Q468=Parametres!$G$2,$Q468=Parametres!$G$3),J468,D468)</f>
        <v>800</v>
      </c>
      <c r="P468" s="152">
        <f>+IF(OR($Q468=Parametres!$G$2,$Q468=Parametres!$G$3),K468,E468)</f>
        <v>8000</v>
      </c>
      <c r="Q468" s="151" t="str">
        <f t="shared" si="33"/>
        <v>7-Dépenses</v>
      </c>
      <c r="R468" s="150" t="str">
        <f t="shared" si="33"/>
        <v>6193</v>
      </c>
      <c r="S468" s="151">
        <f t="shared" si="33"/>
        <v>0</v>
      </c>
      <c r="T468" s="153">
        <f>+VLOOKUP($L468,Data_Validation!$A:$D,1,0)</f>
        <v>6793</v>
      </c>
      <c r="U468" s="153" t="str">
        <f>+VLOOKUP($L468,Data_Validation!$A:$D,3,0)</f>
        <v>Pièces</v>
      </c>
      <c r="V468" s="153" t="str">
        <f>+VLOOKUP($L468,Data_Validation!$A:$D,4,0)</f>
        <v>Taxes d`affaires</v>
      </c>
      <c r="W468" s="153" t="str">
        <f>+VLOOKUP($L468,Data_Validation!$A:$E,5,0)</f>
        <v>$</v>
      </c>
      <c r="X468" s="153">
        <f>+VLOOKUP($L468,Data_Validation!$A:$F,6,0)</f>
        <v>0</v>
      </c>
    </row>
    <row r="469" spans="1:24" ht="15" customHeight="1">
      <c r="A469" s="1430" t="s">
        <v>1368</v>
      </c>
      <c r="B469" s="1433">
        <v>6794</v>
      </c>
      <c r="C469" s="1432">
        <v>14535.02</v>
      </c>
      <c r="D469" s="1432">
        <v>1554.26</v>
      </c>
      <c r="E469" s="1432">
        <v>16089.28</v>
      </c>
      <c r="F469" s="1430" t="s">
        <v>398</v>
      </c>
      <c r="G469" s="1430" t="s">
        <v>2626</v>
      </c>
      <c r="H469" s="1233"/>
      <c r="I469" s="1234"/>
      <c r="J469" s="1234"/>
      <c r="K469" s="1234"/>
      <c r="L469" s="150">
        <f t="shared" si="18"/>
        <v>6794</v>
      </c>
      <c r="M469" s="151" t="str">
        <f t="shared" si="19"/>
        <v>FRAIS PROFESSIONNEL-PIECES</v>
      </c>
      <c r="N469" s="152">
        <f>+IF(OR($Q469=Parametres!$G$2,$Q469=Parametres!$G$3),I469,C469)</f>
        <v>14535.02</v>
      </c>
      <c r="O469" s="152">
        <f>+IF(OR($Q469=Parametres!$G$2,$Q469=Parametres!$G$3),J469,D469)</f>
        <v>1554.26</v>
      </c>
      <c r="P469" s="152">
        <f>+IF(OR($Q469=Parametres!$G$2,$Q469=Parametres!$G$3),K469,E469)</f>
        <v>16089.28</v>
      </c>
      <c r="Q469" s="151" t="str">
        <f t="shared" si="33"/>
        <v>7-Dépenses</v>
      </c>
      <c r="R469" s="150" t="str">
        <f t="shared" si="33"/>
        <v>6194</v>
      </c>
      <c r="S469" s="151">
        <f t="shared" si="33"/>
        <v>0</v>
      </c>
      <c r="T469" s="153">
        <f>+VLOOKUP($L469,Data_Validation!$A:$D,1,0)</f>
        <v>6794</v>
      </c>
      <c r="U469" s="153" t="str">
        <f>+VLOOKUP($L469,Data_Validation!$A:$D,3,0)</f>
        <v>Pièces</v>
      </c>
      <c r="V469" s="153" t="str">
        <f>+VLOOKUP($L469,Data_Validation!$A:$D,4,0)</f>
        <v>Honoraires</v>
      </c>
      <c r="W469" s="153" t="str">
        <f>+VLOOKUP($L469,Data_Validation!$A:$E,5,0)</f>
        <v>$</v>
      </c>
      <c r="X469" s="153">
        <f>+VLOOKUP($L469,Data_Validation!$A:$F,6,0)</f>
        <v>0</v>
      </c>
    </row>
    <row r="470" spans="1:24" ht="15" customHeight="1">
      <c r="A470" s="1430" t="s">
        <v>2046</v>
      </c>
      <c r="B470" s="1433">
        <v>9149</v>
      </c>
      <c r="C470" s="1432">
        <v>-657747.85</v>
      </c>
      <c r="D470" s="1432">
        <v>-54257.65</v>
      </c>
      <c r="E470" s="1432">
        <v>-712005.5</v>
      </c>
      <c r="F470" s="1430" t="s">
        <v>301</v>
      </c>
      <c r="G470" s="1430" t="s">
        <v>2048</v>
      </c>
      <c r="H470" s="1233"/>
      <c r="I470" s="1234"/>
      <c r="J470" s="1234"/>
      <c r="K470" s="1234"/>
      <c r="L470" s="150">
        <f t="shared" si="18"/>
        <v>9149</v>
      </c>
      <c r="M470" s="151" t="str">
        <f t="shared" si="19"/>
        <v>REVENU RESERVE VOLKS</v>
      </c>
      <c r="N470" s="152">
        <f>+IF(OR($Q470=Parametres!$G$2,$Q470=Parametres!$G$3),I470,C470)</f>
        <v>-657747.85</v>
      </c>
      <c r="O470" s="152">
        <f>+IF(OR($Q470=Parametres!$G$2,$Q470=Parametres!$G$3),J470,D470)</f>
        <v>-54257.65</v>
      </c>
      <c r="P470" s="152">
        <f>+IF(OR($Q470=Parametres!$G$2,$Q470=Parametres!$G$3),K470,E470)</f>
        <v>-712005.5</v>
      </c>
      <c r="Q470" s="151" t="str">
        <f t="shared" si="33"/>
        <v>8-Autres revenus</v>
      </c>
      <c r="R470" s="150" t="str">
        <f t="shared" si="33"/>
        <v>9101</v>
      </c>
      <c r="S470" s="151">
        <f t="shared" si="33"/>
        <v>0</v>
      </c>
      <c r="T470" s="153">
        <f>+VLOOKUP($L470,Data_Validation!$A:$D,1,0)</f>
        <v>9149</v>
      </c>
      <c r="U470" s="153" t="str">
        <f>+VLOOKUP($L470,Data_Validation!$A:$D,3,0)</f>
        <v>Véhicules neufs</v>
      </c>
      <c r="V470" s="153" t="str">
        <f>+VLOOKUP($L470,Data_Validation!$A:$D,4,0)</f>
        <v>Holdbacks</v>
      </c>
      <c r="W470" s="153" t="str">
        <f>+VLOOKUP($L470,Data_Validation!$A:$E,5,0)</f>
        <v>$</v>
      </c>
      <c r="X470" s="153">
        <f>+VLOOKUP($L470,Data_Validation!$A:$F,6,0)</f>
        <v>0</v>
      </c>
    </row>
    <row r="471" spans="1:24" ht="15" customHeight="1">
      <c r="A471" s="1430" t="s">
        <v>2131</v>
      </c>
      <c r="B471" s="1433">
        <v>9152</v>
      </c>
      <c r="C471" s="1432">
        <v>-59055.65</v>
      </c>
      <c r="D471" s="1432">
        <v>-12748.76</v>
      </c>
      <c r="E471" s="1432">
        <v>-71804.41</v>
      </c>
      <c r="F471" s="1430" t="s">
        <v>301</v>
      </c>
      <c r="G471" s="1430" t="s">
        <v>2132</v>
      </c>
      <c r="H471" s="1233"/>
      <c r="I471" s="1234"/>
      <c r="J471" s="1234"/>
      <c r="K471" s="1234"/>
      <c r="L471" s="150">
        <f t="shared" si="18"/>
        <v>9152</v>
      </c>
      <c r="M471" s="151" t="str">
        <f t="shared" si="19"/>
        <v>ESCOMPTES SUR ACHAT PIECES</v>
      </c>
      <c r="N471" s="152">
        <f>+IF(OR($Q471=Parametres!$G$2,$Q471=Parametres!$G$3),I471,C471)</f>
        <v>-59055.65</v>
      </c>
      <c r="O471" s="569">
        <f>+IF(OR($Q471=Parametres!$G$2,$Q471=Parametres!$G$3),J471,D471)</f>
        <v>-12748.76</v>
      </c>
      <c r="P471" s="152">
        <f>+IF(OR($Q471=Parametres!$G$2,$Q471=Parametres!$G$3),K471,E471)</f>
        <v>-71804.41</v>
      </c>
      <c r="Q471" s="151" t="str">
        <f t="shared" si="33"/>
        <v>8-Autres revenus</v>
      </c>
      <c r="R471" s="150" t="str">
        <f t="shared" si="33"/>
        <v>9152</v>
      </c>
      <c r="S471" s="151">
        <f t="shared" si="33"/>
        <v>0</v>
      </c>
      <c r="T471" s="153">
        <f>+VLOOKUP($L471,Data_Validation!$A:$D,1,0)</f>
        <v>9152</v>
      </c>
      <c r="U471" s="153" t="str">
        <f>+VLOOKUP($L471,Data_Validation!$A:$D,3,0)</f>
        <v>Pièces</v>
      </c>
      <c r="V471" s="153" t="str">
        <f>+VLOOKUP($L471,Data_Validation!$A:$D,4,0)</f>
        <v>Escomptes</v>
      </c>
      <c r="W471" s="153" t="str">
        <f>+VLOOKUP($L471,Data_Validation!$A:$E,5,0)</f>
        <v>$</v>
      </c>
      <c r="X471" s="153">
        <f>+VLOOKUP($L471,Data_Validation!$A:$F,6,0)</f>
        <v>0</v>
      </c>
    </row>
    <row r="472" spans="1:24" ht="15" customHeight="1">
      <c r="A472" s="1430" t="s">
        <v>2070</v>
      </c>
      <c r="B472" s="1433">
        <v>9157</v>
      </c>
      <c r="C472" s="1432">
        <v>-122276.52</v>
      </c>
      <c r="D472" s="1432">
        <v>0</v>
      </c>
      <c r="E472" s="1432">
        <v>-122276.52</v>
      </c>
      <c r="F472" s="1430" t="s">
        <v>301</v>
      </c>
      <c r="G472" s="1430" t="s">
        <v>2072</v>
      </c>
      <c r="H472" s="1233"/>
      <c r="I472" s="1234"/>
      <c r="J472" s="1234"/>
      <c r="K472" s="1234"/>
      <c r="L472" s="150">
        <f t="shared" si="18"/>
        <v>9157</v>
      </c>
      <c r="M472" s="151" t="str">
        <f t="shared" si="19"/>
        <v>PRIMES DE RENDEMENT (ToT)- BONUS EXPERIENCE +</v>
      </c>
      <c r="N472" s="152">
        <f>+IF(OR($Q472=Parametres!$G$2,$Q472=Parametres!$G$3),I472,C472)</f>
        <v>-122276.52</v>
      </c>
      <c r="O472" s="152">
        <f>+IF(OR($Q472=Parametres!$G$2,$Q472=Parametres!$G$3),J472,D472)</f>
        <v>0</v>
      </c>
      <c r="P472" s="152">
        <f>+IF(OR($Q472=Parametres!$G$2,$Q472=Parametres!$G$3),K472,E472)</f>
        <v>-122276.52</v>
      </c>
      <c r="Q472" s="151" t="str">
        <f t="shared" si="33"/>
        <v>8-Autres revenus</v>
      </c>
      <c r="R472" s="150" t="str">
        <f t="shared" si="33"/>
        <v>915</v>
      </c>
      <c r="S472" s="151">
        <f t="shared" si="33"/>
        <v>0</v>
      </c>
      <c r="T472" s="153">
        <f>+VLOOKUP($L472,Data_Validation!$A:$D,1,0)</f>
        <v>9157</v>
      </c>
      <c r="U472" s="153" t="str">
        <f>+VLOOKUP($L472,Data_Validation!$A:$D,3,0)</f>
        <v>Véhicules neufs</v>
      </c>
      <c r="V472" s="153" t="str">
        <f>+VLOOKUP($L472,Data_Validation!$A:$D,4,0)</f>
        <v>Programme neuf 1</v>
      </c>
      <c r="W472" s="153" t="str">
        <f>+VLOOKUP($L472,Data_Validation!$A:$E,5,0)</f>
        <v>$</v>
      </c>
      <c r="X472" s="153">
        <f>+VLOOKUP($L472,Data_Validation!$A:$F,6,0)</f>
        <v>0</v>
      </c>
    </row>
    <row r="473" spans="1:24" ht="15.75" customHeight="1">
      <c r="A473" s="1430" t="s">
        <v>2163</v>
      </c>
      <c r="B473" s="1433">
        <v>9161</v>
      </c>
      <c r="C473" s="1432">
        <v>-8384.7900000000009</v>
      </c>
      <c r="D473" s="1432">
        <v>0</v>
      </c>
      <c r="E473" s="1432">
        <v>-8384.7900000000009</v>
      </c>
      <c r="F473" s="1430" t="s">
        <v>301</v>
      </c>
      <c r="G473" s="1430" t="s">
        <v>2069</v>
      </c>
      <c r="H473" s="1233"/>
      <c r="I473" s="1234"/>
      <c r="J473" s="1234"/>
      <c r="K473" s="1234"/>
      <c r="L473" s="150">
        <f t="shared" si="18"/>
        <v>9161</v>
      </c>
      <c r="M473" s="151" t="str">
        <f t="shared" si="19"/>
        <v>REVENU FIN ET ASS NEUF</v>
      </c>
      <c r="N473" s="152">
        <f>+IF(OR($Q473=Parametres!$G$2,$Q473=Parametres!$G$3),I473,C473)</f>
        <v>-8384.7900000000009</v>
      </c>
      <c r="O473" s="152">
        <f>+IF(OR($Q473=Parametres!$G$2,$Q473=Parametres!$G$3),J473,D473)</f>
        <v>0</v>
      </c>
      <c r="P473" s="152">
        <f>+IF(OR($Q473=Parametres!$G$2,$Q473=Parametres!$G$3),K473,E473)</f>
        <v>-8384.7900000000009</v>
      </c>
      <c r="Q473" s="151" t="str">
        <f t="shared" si="33"/>
        <v>8-Autres revenus</v>
      </c>
      <c r="R473" s="150" t="str">
        <f t="shared" si="33"/>
        <v>9161</v>
      </c>
      <c r="S473" s="151">
        <f t="shared" si="33"/>
        <v>0</v>
      </c>
      <c r="T473" s="153">
        <f>+VLOOKUP($L473,Data_Validation!$A:$D,1,0)</f>
        <v>9161</v>
      </c>
      <c r="U473" s="153" t="str">
        <f>+VLOOKUP($L473,Data_Validation!$A:$D,3,0)</f>
        <v>Véhicules neufs</v>
      </c>
      <c r="V473" s="153" t="str">
        <f>+VLOOKUP($L473,Data_Validation!$A:$D,4,0)</f>
        <v>Rev. Finances</v>
      </c>
      <c r="W473" s="153" t="str">
        <f>+VLOOKUP($L473,Data_Validation!$A:$E,5,0)</f>
        <v>$</v>
      </c>
      <c r="X473" s="153" t="str">
        <f>+VLOOKUP($L473,Data_Validation!$A:$F,6,0)</f>
        <v>Oui</v>
      </c>
    </row>
    <row r="474" spans="1:24" ht="15" customHeight="1">
      <c r="A474" s="1430" t="s">
        <v>2077</v>
      </c>
      <c r="B474" s="1433">
        <v>9163</v>
      </c>
      <c r="C474" s="1432">
        <v>-237331.96</v>
      </c>
      <c r="D474" s="1432">
        <v>-27499.07</v>
      </c>
      <c r="E474" s="1432">
        <v>-264831.03000000003</v>
      </c>
      <c r="F474" s="1430" t="s">
        <v>301</v>
      </c>
      <c r="G474" s="1430" t="s">
        <v>2078</v>
      </c>
      <c r="H474" s="1233"/>
      <c r="I474" s="1234"/>
      <c r="J474" s="1234"/>
      <c r="K474" s="1234"/>
      <c r="L474" s="150">
        <f t="shared" si="18"/>
        <v>9163</v>
      </c>
      <c r="M474" s="151" t="str">
        <f t="shared" si="19"/>
        <v>RESERVE FIN ET ASS VEH OCCASION</v>
      </c>
      <c r="N474" s="152">
        <f>+IF(OR($Q474=Parametres!$G$2,$Q474=Parametres!$G$3),I474,C474)</f>
        <v>-237331.96</v>
      </c>
      <c r="O474" s="152">
        <f>+IF(OR($Q474=Parametres!$G$2,$Q474=Parametres!$G$3),J474,D474)</f>
        <v>-27499.07</v>
      </c>
      <c r="P474" s="152">
        <f>+IF(OR($Q474=Parametres!$G$2,$Q474=Parametres!$G$3),K474,E474)</f>
        <v>-264831.03000000003</v>
      </c>
      <c r="Q474" s="151" t="str">
        <f t="shared" si="33"/>
        <v>8-Autres revenus</v>
      </c>
      <c r="R474" s="150" t="str">
        <f t="shared" si="33"/>
        <v>9163</v>
      </c>
      <c r="S474" s="151">
        <f t="shared" si="33"/>
        <v>0</v>
      </c>
      <c r="T474" s="153">
        <f>+VLOOKUP($L474,Data_Validation!$A:$D,1,0)</f>
        <v>9163</v>
      </c>
      <c r="U474" s="153" t="str">
        <f>+VLOOKUP($L474,Data_Validation!$A:$D,3,0)</f>
        <v>Véhicules usagés</v>
      </c>
      <c r="V474" s="153" t="str">
        <f>+VLOOKUP($L474,Data_Validation!$A:$D,4,0)</f>
        <v>Rev. Finances</v>
      </c>
      <c r="W474" s="153" t="str">
        <f>+VLOOKUP($L474,Data_Validation!$A:$E,5,0)</f>
        <v>$</v>
      </c>
      <c r="X474" s="153" t="str">
        <f>+VLOOKUP($L474,Data_Validation!$A:$F,6,0)</f>
        <v>Oui</v>
      </c>
    </row>
    <row r="475" spans="1:24" ht="15" customHeight="1">
      <c r="A475" s="1430" t="s">
        <v>2164</v>
      </c>
      <c r="B475" s="1433">
        <v>9165</v>
      </c>
      <c r="C475" s="1432">
        <v>-13203.14</v>
      </c>
      <c r="D475" s="1432">
        <v>-938.84</v>
      </c>
      <c r="E475" s="1432">
        <v>-14141.98</v>
      </c>
      <c r="F475" s="1430" t="s">
        <v>301</v>
      </c>
      <c r="G475" s="1430" t="s">
        <v>2069</v>
      </c>
      <c r="H475" s="1233"/>
      <c r="I475" s="1234"/>
      <c r="J475" s="1234"/>
      <c r="K475" s="1234"/>
      <c r="L475" s="150">
        <f t="shared" si="18"/>
        <v>9165</v>
      </c>
      <c r="M475" s="151" t="str">
        <f t="shared" si="19"/>
        <v>REV. ASSURANCES NEUF</v>
      </c>
      <c r="N475" s="152">
        <f>+IF(OR($Q475=Parametres!$G$2,$Q475=Parametres!$G$3),I475,C475)</f>
        <v>-13203.14</v>
      </c>
      <c r="O475" s="152">
        <f>+IF(OR($Q475=Parametres!$G$2,$Q475=Parametres!$G$3),J475,D475)</f>
        <v>-938.84</v>
      </c>
      <c r="P475" s="152">
        <f>+IF(OR($Q475=Parametres!$G$2,$Q475=Parametres!$G$3),K475,E475)</f>
        <v>-14141.98</v>
      </c>
      <c r="Q475" s="151" t="str">
        <f t="shared" si="33"/>
        <v>8-Autres revenus</v>
      </c>
      <c r="R475" s="150" t="str">
        <f t="shared" si="33"/>
        <v>9161</v>
      </c>
      <c r="S475" s="151">
        <f t="shared" si="33"/>
        <v>0</v>
      </c>
      <c r="T475" s="153">
        <f>+VLOOKUP($L475,Data_Validation!$A:$D,1,0)</f>
        <v>9165</v>
      </c>
      <c r="U475" s="153" t="str">
        <f>+VLOOKUP($L475,Data_Validation!$A:$D,3,0)</f>
        <v>Véhicules neufs</v>
      </c>
      <c r="V475" s="153" t="str">
        <f>+VLOOKUP($L475,Data_Validation!$A:$D,4,0)</f>
        <v>Rev. Autres</v>
      </c>
      <c r="W475" s="153" t="str">
        <f>+VLOOKUP($L475,Data_Validation!$A:$E,5,0)</f>
        <v>$</v>
      </c>
      <c r="X475" s="153" t="str">
        <f>+VLOOKUP($L475,Data_Validation!$A:$F,6,0)</f>
        <v>Oui</v>
      </c>
    </row>
    <row r="476" spans="1:24" ht="15" customHeight="1">
      <c r="A476" s="1430" t="s">
        <v>2172</v>
      </c>
      <c r="B476" s="1433">
        <v>9167</v>
      </c>
      <c r="C476" s="1432">
        <v>-16389.8</v>
      </c>
      <c r="D476" s="1432">
        <v>-1821.3</v>
      </c>
      <c r="E476" s="1432">
        <v>-18211.099999999999</v>
      </c>
      <c r="F476" s="1430" t="s">
        <v>301</v>
      </c>
      <c r="G476" s="1430" t="s">
        <v>2078</v>
      </c>
      <c r="H476" s="1233"/>
      <c r="I476" s="1234"/>
      <c r="J476" s="1234"/>
      <c r="K476" s="1234"/>
      <c r="L476" s="150">
        <f t="shared" si="18"/>
        <v>9167</v>
      </c>
      <c r="M476" s="151" t="str">
        <f t="shared" si="19"/>
        <v>REV ASSURANCE USAGE</v>
      </c>
      <c r="N476" s="152">
        <f>+IF(OR($Q476=Parametres!$G$2,$Q476=Parametres!$G$3),I476,C476)</f>
        <v>-16389.8</v>
      </c>
      <c r="O476" s="152">
        <f>+IF(OR($Q476=Parametres!$G$2,$Q476=Parametres!$G$3),J476,D476)</f>
        <v>-1821.3</v>
      </c>
      <c r="P476" s="152">
        <f>+IF(OR($Q476=Parametres!$G$2,$Q476=Parametres!$G$3),K476,E476)</f>
        <v>-18211.099999999999</v>
      </c>
      <c r="Q476" s="151" t="str">
        <f t="shared" si="33"/>
        <v>8-Autres revenus</v>
      </c>
      <c r="R476" s="150" t="str">
        <f t="shared" si="33"/>
        <v>9163</v>
      </c>
      <c r="S476" s="151">
        <f t="shared" si="33"/>
        <v>0</v>
      </c>
      <c r="T476" s="153">
        <f>+VLOOKUP($L476,Data_Validation!$A:$D,1,0)</f>
        <v>9167</v>
      </c>
      <c r="U476" s="153" t="str">
        <f>+VLOOKUP($L476,Data_Validation!$A:$D,3,0)</f>
        <v>Véhicules usagés</v>
      </c>
      <c r="V476" s="153" t="str">
        <f>+VLOOKUP($L476,Data_Validation!$A:$D,4,0)</f>
        <v>Rev. Autres</v>
      </c>
      <c r="W476" s="153" t="str">
        <f>+VLOOKUP($L476,Data_Validation!$A:$E,5,0)</f>
        <v>$</v>
      </c>
      <c r="X476" s="153" t="str">
        <f>+VLOOKUP($L476,Data_Validation!$A:$F,6,0)</f>
        <v>Oui</v>
      </c>
    </row>
    <row r="477" spans="1:24" ht="15.75" customHeight="1">
      <c r="A477" s="1430" t="s">
        <v>2085</v>
      </c>
      <c r="B477" s="1433">
        <v>9169</v>
      </c>
      <c r="C477" s="1432">
        <v>-108838</v>
      </c>
      <c r="D477" s="1432">
        <v>-5703</v>
      </c>
      <c r="E477" s="1432">
        <v>-114541</v>
      </c>
      <c r="F477" s="1430" t="s">
        <v>301</v>
      </c>
      <c r="G477" s="1430" t="s">
        <v>2069</v>
      </c>
      <c r="H477" s="1233"/>
      <c r="I477" s="1234"/>
      <c r="J477" s="1234"/>
      <c r="K477" s="1234"/>
      <c r="L477" s="150">
        <f t="shared" si="18"/>
        <v>9169</v>
      </c>
      <c r="M477" s="151" t="str">
        <f t="shared" si="19"/>
        <v>REV GARANTIE PROLONGEE NEUF</v>
      </c>
      <c r="N477" s="152">
        <f>+IF(OR($Q477=Parametres!$G$2,$Q477=Parametres!$G$3),I477,C477)</f>
        <v>-108838</v>
      </c>
      <c r="O477" s="152">
        <f>+IF(OR($Q477=Parametres!$G$2,$Q477=Parametres!$G$3),J477,D477)</f>
        <v>-5703</v>
      </c>
      <c r="P477" s="152">
        <f>+IF(OR($Q477=Parametres!$G$2,$Q477=Parametres!$G$3),K477,E477)</f>
        <v>-114541</v>
      </c>
      <c r="Q477" s="151" t="str">
        <f t="shared" si="33"/>
        <v>8-Autres revenus</v>
      </c>
      <c r="R477" s="150" t="str">
        <f t="shared" si="33"/>
        <v>9161</v>
      </c>
      <c r="S477" s="151">
        <f t="shared" si="33"/>
        <v>0</v>
      </c>
      <c r="T477" s="153">
        <f>+VLOOKUP($L477,Data_Validation!$A:$D,1,0)</f>
        <v>9169</v>
      </c>
      <c r="U477" s="153" t="str">
        <f>+VLOOKUP($L477,Data_Validation!$A:$D,3,0)</f>
        <v>Véhicules neufs</v>
      </c>
      <c r="V477" s="153" t="str">
        <f>+VLOOKUP($L477,Data_Validation!$A:$D,4,0)</f>
        <v>Rev. Protections</v>
      </c>
      <c r="W477" s="153" t="str">
        <f>+VLOOKUP($L477,Data_Validation!$A:$E,5,0)</f>
        <v>$</v>
      </c>
      <c r="X477" s="153" t="str">
        <f>+VLOOKUP($L477,Data_Validation!$A:$F,6,0)</f>
        <v>Oui</v>
      </c>
    </row>
    <row r="478" spans="1:24" ht="15" customHeight="1">
      <c r="A478" s="1430" t="s">
        <v>2067</v>
      </c>
      <c r="B478" s="1433">
        <v>9170</v>
      </c>
      <c r="C478" s="1432">
        <v>-369151.14</v>
      </c>
      <c r="D478" s="1432">
        <v>-47909.83</v>
      </c>
      <c r="E478" s="1432">
        <v>-417060.97</v>
      </c>
      <c r="F478" s="1430" t="s">
        <v>301</v>
      </c>
      <c r="G478" s="1430" t="s">
        <v>2069</v>
      </c>
      <c r="H478" s="1233"/>
      <c r="I478" s="1234"/>
      <c r="J478" s="1234"/>
      <c r="K478" s="1234"/>
      <c r="L478" s="150">
        <f t="shared" si="18"/>
        <v>9170</v>
      </c>
      <c r="M478" s="151" t="str">
        <f t="shared" si="19"/>
        <v>PROFIT PROTECTIONS - NEUFS</v>
      </c>
      <c r="N478" s="152">
        <f>+IF(OR($Q478=Parametres!$G$2,$Q478=Parametres!$G$3),I478,C478)</f>
        <v>-369151.14</v>
      </c>
      <c r="O478" s="152">
        <f>+IF(OR($Q478=Parametres!$G$2,$Q478=Parametres!$G$3),J478,D478)</f>
        <v>-47909.83</v>
      </c>
      <c r="P478" s="152">
        <f>+IF(OR($Q478=Parametres!$G$2,$Q478=Parametres!$G$3),K478,E478)</f>
        <v>-417060.97</v>
      </c>
      <c r="Q478" s="151" t="str">
        <f t="shared" si="33"/>
        <v>8-Autres revenus</v>
      </c>
      <c r="R478" s="150" t="str">
        <f t="shared" si="33"/>
        <v>9161</v>
      </c>
      <c r="S478" s="151">
        <f t="shared" si="33"/>
        <v>0</v>
      </c>
      <c r="T478" s="153">
        <f>+VLOOKUP($L478,Data_Validation!$A:$D,1,0)</f>
        <v>9170</v>
      </c>
      <c r="U478" s="153" t="str">
        <f>+VLOOKUP($L478,Data_Validation!$A:$D,3,0)</f>
        <v>Véhicules neufs</v>
      </c>
      <c r="V478" s="153" t="str">
        <f>+VLOOKUP($L478,Data_Validation!$A:$D,4,0)</f>
        <v>Rev. Protections</v>
      </c>
      <c r="W478" s="153" t="str">
        <f>+VLOOKUP($L478,Data_Validation!$A:$E,5,0)</f>
        <v>$</v>
      </c>
      <c r="X478" s="153" t="str">
        <f>+VLOOKUP($L478,Data_Validation!$A:$F,6,0)</f>
        <v>Oui</v>
      </c>
    </row>
    <row r="479" spans="1:24" ht="15" customHeight="1">
      <c r="A479" s="1430" t="s">
        <v>2081</v>
      </c>
      <c r="B479" s="1433">
        <v>9171</v>
      </c>
      <c r="C479" s="1432">
        <v>-250556.76</v>
      </c>
      <c r="D479" s="1432">
        <v>-34467.14</v>
      </c>
      <c r="E479" s="1432">
        <v>-285023.90000000002</v>
      </c>
      <c r="F479" s="1430" t="s">
        <v>301</v>
      </c>
      <c r="G479" s="1430" t="s">
        <v>2078</v>
      </c>
      <c r="H479" s="1233"/>
      <c r="I479" s="1234"/>
      <c r="J479" s="1234"/>
      <c r="K479" s="1234"/>
      <c r="L479" s="150">
        <f t="shared" si="18"/>
        <v>9171</v>
      </c>
      <c r="M479" s="151" t="str">
        <f t="shared" si="19"/>
        <v>REV GARANTIE PROLONGEE USAGE</v>
      </c>
      <c r="N479" s="152">
        <f>+IF(OR($Q479=Parametres!$G$2,$Q479=Parametres!$G$3),I479,C479)</f>
        <v>-250556.76</v>
      </c>
      <c r="O479" s="152">
        <f>+IF(OR($Q479=Parametres!$G$2,$Q479=Parametres!$G$3),J479,D479)</f>
        <v>-34467.14</v>
      </c>
      <c r="P479" s="152">
        <f>+IF(OR($Q479=Parametres!$G$2,$Q479=Parametres!$G$3),K479,E479)</f>
        <v>-285023.90000000002</v>
      </c>
      <c r="Q479" s="151" t="str">
        <f t="shared" si="33"/>
        <v>8-Autres revenus</v>
      </c>
      <c r="R479" s="150" t="str">
        <f t="shared" si="33"/>
        <v>9163</v>
      </c>
      <c r="S479" s="151">
        <f t="shared" si="33"/>
        <v>0</v>
      </c>
      <c r="T479" s="153">
        <f>+VLOOKUP($L479,Data_Validation!$A:$D,1,0)</f>
        <v>9171</v>
      </c>
      <c r="U479" s="153" t="str">
        <f>+VLOOKUP($L479,Data_Validation!$A:$D,3,0)</f>
        <v>Véhicules usagés</v>
      </c>
      <c r="V479" s="153" t="str">
        <f>+VLOOKUP($L479,Data_Validation!$A:$D,4,0)</f>
        <v>Rev. Protections</v>
      </c>
      <c r="W479" s="153" t="str">
        <f>+VLOOKUP($L479,Data_Validation!$A:$E,5,0)</f>
        <v>$</v>
      </c>
      <c r="X479" s="153" t="str">
        <f>+VLOOKUP($L479,Data_Validation!$A:$F,6,0)</f>
        <v>Oui</v>
      </c>
    </row>
    <row r="480" spans="1:24" ht="15" customHeight="1">
      <c r="A480" s="1430" t="s">
        <v>2089</v>
      </c>
      <c r="B480" s="1433">
        <v>9172</v>
      </c>
      <c r="C480" s="1432">
        <v>-123314.32</v>
      </c>
      <c r="D480" s="1432">
        <v>-17429.79</v>
      </c>
      <c r="E480" s="1432">
        <v>-140744.10999999999</v>
      </c>
      <c r="F480" s="1430" t="s">
        <v>301</v>
      </c>
      <c r="G480" s="1430" t="s">
        <v>2078</v>
      </c>
      <c r="H480" s="1233"/>
      <c r="I480" s="1234"/>
      <c r="J480" s="1234"/>
      <c r="K480" s="1234"/>
      <c r="L480" s="150">
        <f t="shared" si="18"/>
        <v>9172</v>
      </c>
      <c r="M480" s="151" t="str">
        <f t="shared" si="19"/>
        <v>PROFIT PROTECTIONS - USAGES</v>
      </c>
      <c r="N480" s="152">
        <f>+IF(OR($Q480=Parametres!$G$2,$Q480=Parametres!$G$3),I480,C480)</f>
        <v>-123314.32</v>
      </c>
      <c r="O480" s="152">
        <f>+IF(OR($Q480=Parametres!$G$2,$Q480=Parametres!$G$3),J480,D480)</f>
        <v>-17429.79</v>
      </c>
      <c r="P480" s="152">
        <f>+IF(OR($Q480=Parametres!$G$2,$Q480=Parametres!$G$3),K480,E480)</f>
        <v>-140744.10999999999</v>
      </c>
      <c r="Q480" s="151" t="str">
        <f t="shared" si="33"/>
        <v>8-Autres revenus</v>
      </c>
      <c r="R480" s="150" t="str">
        <f t="shared" si="33"/>
        <v>9163</v>
      </c>
      <c r="S480" s="151">
        <f t="shared" si="33"/>
        <v>0</v>
      </c>
      <c r="T480" s="153">
        <f>+VLOOKUP($L480,Data_Validation!$A:$D,1,0)</f>
        <v>9172</v>
      </c>
      <c r="U480" s="153" t="str">
        <f>+VLOOKUP($L480,Data_Validation!$A:$D,3,0)</f>
        <v>Véhicules usagés</v>
      </c>
      <c r="V480" s="153" t="str">
        <f>+VLOOKUP($L480,Data_Validation!$A:$D,4,0)</f>
        <v>Rev. Protections</v>
      </c>
      <c r="W480" s="153" t="str">
        <f>+VLOOKUP($L480,Data_Validation!$A:$E,5,0)</f>
        <v>$</v>
      </c>
      <c r="X480" s="153" t="str">
        <f>+VLOOKUP($L480,Data_Validation!$A:$F,6,0)</f>
        <v>Oui</v>
      </c>
    </row>
    <row r="481" spans="1:24" ht="15" customHeight="1">
      <c r="A481" s="1430" t="s">
        <v>2073</v>
      </c>
      <c r="B481" s="1433">
        <v>9173</v>
      </c>
      <c r="C481" s="1432">
        <v>-287364.39</v>
      </c>
      <c r="D481" s="1432">
        <v>-36333.49</v>
      </c>
      <c r="E481" s="1432">
        <v>-323697.88</v>
      </c>
      <c r="F481" s="1430" t="s">
        <v>301</v>
      </c>
      <c r="G481" s="1430" t="s">
        <v>2056</v>
      </c>
      <c r="H481" s="1233"/>
      <c r="I481" s="1234"/>
      <c r="J481" s="1234"/>
      <c r="K481" s="1234"/>
      <c r="L481" s="150">
        <f t="shared" si="18"/>
        <v>9173</v>
      </c>
      <c r="M481" s="151" t="str">
        <f t="shared" si="19"/>
        <v>FRAIS ADMIN. VOLKS</v>
      </c>
      <c r="N481" s="152">
        <f>+IF(OR($Q481=Parametres!$G$2,$Q481=Parametres!$G$3),I481,C481)</f>
        <v>-287364.39</v>
      </c>
      <c r="O481" s="152">
        <f>+IF(OR($Q481=Parametres!$G$2,$Q481=Parametres!$G$3),J481,D481)</f>
        <v>-36333.49</v>
      </c>
      <c r="P481" s="152">
        <f>+IF(OR($Q481=Parametres!$G$2,$Q481=Parametres!$G$3),K481,E481)</f>
        <v>-323697.88</v>
      </c>
      <c r="Q481" s="151" t="str">
        <f t="shared" si="33"/>
        <v>8-Autres revenus</v>
      </c>
      <c r="R481" s="150" t="str">
        <f t="shared" si="33"/>
        <v>9191</v>
      </c>
      <c r="S481" s="151">
        <f t="shared" si="33"/>
        <v>0</v>
      </c>
      <c r="T481" s="153">
        <f>+VLOOKUP($L481,Data_Validation!$A:$D,1,0)</f>
        <v>9173</v>
      </c>
      <c r="U481" s="153" t="str">
        <f>+VLOOKUP($L481,Data_Validation!$A:$D,3,0)</f>
        <v>Véhicules neufs</v>
      </c>
      <c r="V481" s="153" t="str">
        <f>+VLOOKUP($L481,Data_Validation!$A:$D,4,0)</f>
        <v>Frais administration</v>
      </c>
      <c r="W481" s="153" t="str">
        <f>+VLOOKUP($L481,Data_Validation!$A:$E,5,0)</f>
        <v>$</v>
      </c>
      <c r="X481" s="153">
        <f>+VLOOKUP($L481,Data_Validation!$A:$F,6,0)</f>
        <v>0</v>
      </c>
    </row>
    <row r="482" spans="1:24" ht="15.75" customHeight="1">
      <c r="A482" s="1430" t="s">
        <v>2055</v>
      </c>
      <c r="B482" s="1433">
        <v>9191</v>
      </c>
      <c r="C482" s="1432">
        <v>-186090.39</v>
      </c>
      <c r="D482" s="1432">
        <v>9.68</v>
      </c>
      <c r="E482" s="1432">
        <v>-186080.71</v>
      </c>
      <c r="F482" s="1430" t="s">
        <v>301</v>
      </c>
      <c r="G482" s="1430" t="s">
        <v>2056</v>
      </c>
      <c r="H482" s="1233"/>
      <c r="I482" s="1234"/>
      <c r="J482" s="1234"/>
      <c r="K482" s="1234"/>
      <c r="L482" s="150">
        <f t="shared" si="18"/>
        <v>9191</v>
      </c>
      <c r="M482" s="151" t="str">
        <f t="shared" si="19"/>
        <v>REVENUS DIVERS</v>
      </c>
      <c r="N482" s="152">
        <f>+IF(OR($Q482=Parametres!$G$2,$Q482=Parametres!$G$3),I482,C482)</f>
        <v>-186090.39</v>
      </c>
      <c r="O482" s="152">
        <f>+IF(OR($Q482=Parametres!$G$2,$Q482=Parametres!$G$3),J482,D482)</f>
        <v>9.68</v>
      </c>
      <c r="P482" s="152">
        <f>+IF(OR($Q482=Parametres!$G$2,$Q482=Parametres!$G$3),K482,E482)</f>
        <v>-186080.71</v>
      </c>
      <c r="Q482" s="151" t="str">
        <f t="shared" ref="Q482:S497" si="34">+F482</f>
        <v>8-Autres revenus</v>
      </c>
      <c r="R482" s="150" t="str">
        <f t="shared" si="34"/>
        <v>9191</v>
      </c>
      <c r="S482" s="151">
        <f t="shared" si="34"/>
        <v>0</v>
      </c>
      <c r="T482" s="153">
        <f>+VLOOKUP($L482,Data_Validation!$A:$D,1,0)</f>
        <v>9191</v>
      </c>
      <c r="U482" s="153" t="str">
        <f>+VLOOKUP($L482,Data_Validation!$A:$D,3,0)</f>
        <v>TOTAL  DES  REVENUS  ET  DÉPENSES</v>
      </c>
      <c r="V482" s="153" t="str">
        <f>+VLOOKUP($L482,Data_Validation!$A:$D,4,0)</f>
        <v>Revenus autres</v>
      </c>
      <c r="W482" s="153" t="str">
        <f>+VLOOKUP($L482,Data_Validation!$A:$E,5,0)</f>
        <v>$</v>
      </c>
      <c r="X482" s="153">
        <f>+VLOOKUP($L482,Data_Validation!$A:$F,6,0)</f>
        <v>0</v>
      </c>
    </row>
    <row r="483" spans="1:24" ht="15" customHeight="1">
      <c r="A483" s="1430" t="s">
        <v>2641</v>
      </c>
      <c r="B483" s="1433">
        <v>9402</v>
      </c>
      <c r="C483" s="1432">
        <v>3585.06</v>
      </c>
      <c r="D483" s="1432">
        <v>398.34</v>
      </c>
      <c r="E483" s="1432">
        <v>3983.4</v>
      </c>
      <c r="F483" s="1430" t="s">
        <v>1232</v>
      </c>
      <c r="G483" s="1430" t="s">
        <v>2169</v>
      </c>
      <c r="H483" s="1233"/>
      <c r="I483" s="1234"/>
      <c r="J483" s="1234"/>
      <c r="K483" s="1234"/>
      <c r="L483" s="150">
        <f t="shared" si="18"/>
        <v>9402</v>
      </c>
      <c r="M483" s="151" t="str">
        <f t="shared" si="19"/>
        <v>DEPENSE D'INTERETS</v>
      </c>
      <c r="N483" s="152">
        <f>+IF(OR($Q483=Parametres!$G$2,$Q483=Parametres!$G$3),I483,C483)</f>
        <v>3585.06</v>
      </c>
      <c r="O483" s="152">
        <f>+IF(OR($Q483=Parametres!$G$2,$Q483=Parametres!$G$3),J483,D483)</f>
        <v>398.34</v>
      </c>
      <c r="P483" s="152">
        <f>+IF(OR($Q483=Parametres!$G$2,$Q483=Parametres!$G$3),K483,E483)</f>
        <v>3983.4</v>
      </c>
      <c r="Q483" s="151" t="str">
        <f t="shared" si="34"/>
        <v>9-Autres déductions</v>
      </c>
      <c r="R483" s="150" t="str">
        <f t="shared" si="34"/>
        <v>9402</v>
      </c>
      <c r="S483" s="151">
        <f t="shared" si="34"/>
        <v>0</v>
      </c>
      <c r="T483" s="153">
        <f>+VLOOKUP($L483,Data_Validation!$A:$D,1,0)</f>
        <v>9402</v>
      </c>
      <c r="U483" s="153" t="str">
        <f>+VLOOKUP($L483,Data_Validation!$A:$D,3,0)</f>
        <v>TOTAL  DES  REVENUS  ET  DÉPENSES</v>
      </c>
      <c r="V483" s="153" t="str">
        <f>+VLOOKUP($L483,Data_Validation!$A:$D,4,0)</f>
        <v>Intérêts sur prêt</v>
      </c>
      <c r="W483" s="153" t="str">
        <f>+VLOOKUP($L483,Data_Validation!$A:$E,5,0)</f>
        <v>$</v>
      </c>
      <c r="X483" s="153">
        <f>+VLOOKUP($L483,Data_Validation!$A:$F,6,0)</f>
        <v>0</v>
      </c>
    </row>
    <row r="484" spans="1:24" ht="15" customHeight="1">
      <c r="A484" s="1430" t="s">
        <v>2167</v>
      </c>
      <c r="B484" s="1433">
        <v>9403</v>
      </c>
      <c r="C484" s="1432">
        <v>-4499.08</v>
      </c>
      <c r="D484" s="1432">
        <v>40.97</v>
      </c>
      <c r="E484" s="1432">
        <v>-4458.1099999999997</v>
      </c>
      <c r="F484" s="1430" t="s">
        <v>1232</v>
      </c>
      <c r="G484" s="1430" t="s">
        <v>2169</v>
      </c>
      <c r="H484" s="1233"/>
      <c r="I484" s="1234"/>
      <c r="J484" s="1234"/>
      <c r="K484" s="1234"/>
      <c r="L484" s="150">
        <f t="shared" si="18"/>
        <v>9403</v>
      </c>
      <c r="M484" s="151" t="str">
        <f t="shared" si="19"/>
        <v>INTERETS SUR MARGE CREDIT</v>
      </c>
      <c r="N484" s="152">
        <f>+IF(OR($Q484=Parametres!$G$2,$Q484=Parametres!$G$3),I484,C484)</f>
        <v>-4499.08</v>
      </c>
      <c r="O484" s="152">
        <f>+IF(OR($Q484=Parametres!$G$2,$Q484=Parametres!$G$3),J484,D484)</f>
        <v>40.97</v>
      </c>
      <c r="P484" s="152">
        <f>+IF(OR($Q484=Parametres!$G$2,$Q484=Parametres!$G$3),K484,E484)</f>
        <v>-4458.1099999999997</v>
      </c>
      <c r="Q484" s="151" t="str">
        <f t="shared" si="34"/>
        <v>9-Autres déductions</v>
      </c>
      <c r="R484" s="150" t="str">
        <f t="shared" si="34"/>
        <v>9402</v>
      </c>
      <c r="S484" s="151">
        <f t="shared" si="34"/>
        <v>0</v>
      </c>
      <c r="T484" s="153">
        <f>+VLOOKUP($L484,Data_Validation!$A:$D,1,0)</f>
        <v>9403</v>
      </c>
      <c r="U484" s="153" t="str">
        <f>+VLOOKUP($L484,Data_Validation!$A:$D,3,0)</f>
        <v>TOTAL  DES  REVENUS  ET  DÉPENSES</v>
      </c>
      <c r="V484" s="153" t="str">
        <f>+VLOOKUP($L484,Data_Validation!$A:$D,4,0)</f>
        <v>Intérêts sur marge</v>
      </c>
      <c r="W484" s="153" t="str">
        <f>+VLOOKUP($L484,Data_Validation!$A:$E,5,0)</f>
        <v>$</v>
      </c>
      <c r="X484" s="153">
        <f>+VLOOKUP($L484,Data_Validation!$A:$F,6,0)</f>
        <v>0</v>
      </c>
    </row>
    <row r="485" spans="1:24" ht="15" customHeight="1">
      <c r="A485" s="1430" t="s">
        <v>1386</v>
      </c>
      <c r="B485" s="1433">
        <v>9404</v>
      </c>
      <c r="C485" s="1432">
        <v>1550.25</v>
      </c>
      <c r="D485" s="1432">
        <v>172.25</v>
      </c>
      <c r="E485" s="1432">
        <v>1722.5</v>
      </c>
      <c r="F485" s="1430" t="s">
        <v>1232</v>
      </c>
      <c r="G485" s="1430" t="s">
        <v>2169</v>
      </c>
      <c r="H485" s="1233"/>
      <c r="I485" s="1234"/>
      <c r="J485" s="1234"/>
      <c r="K485" s="1234"/>
      <c r="L485" s="150">
        <f t="shared" si="18"/>
        <v>9404</v>
      </c>
      <c r="M485" s="151" t="str">
        <f t="shared" si="19"/>
        <v>INTERETS SUR PRET</v>
      </c>
      <c r="N485" s="152">
        <f>+IF(OR($Q485=Parametres!$G$2,$Q485=Parametres!$G$3),I485,C485)</f>
        <v>1550.25</v>
      </c>
      <c r="O485" s="152">
        <f>+IF(OR($Q485=Parametres!$G$2,$Q485=Parametres!$G$3),J485,D485)</f>
        <v>172.25</v>
      </c>
      <c r="P485" s="152">
        <f>+IF(OR($Q485=Parametres!$G$2,$Q485=Parametres!$G$3),K485,E485)</f>
        <v>1722.5</v>
      </c>
      <c r="Q485" s="151" t="str">
        <f t="shared" si="34"/>
        <v>9-Autres déductions</v>
      </c>
      <c r="R485" s="150" t="str">
        <f t="shared" si="34"/>
        <v>9402</v>
      </c>
      <c r="S485" s="151">
        <f t="shared" si="34"/>
        <v>0</v>
      </c>
      <c r="T485" s="153">
        <f>+VLOOKUP($L485,Data_Validation!$A:$D,1,0)</f>
        <v>9404</v>
      </c>
      <c r="U485" s="153" t="str">
        <f>+VLOOKUP($L485,Data_Validation!$A:$D,3,0)</f>
        <v>TOTAL  DES  REVENUS  ET  DÉPENSES</v>
      </c>
      <c r="V485" s="153" t="str">
        <f>+VLOOKUP($L485,Data_Validation!$A:$D,4,0)</f>
        <v>Intérêts sur prêt</v>
      </c>
      <c r="W485" s="153" t="str">
        <f>+VLOOKUP($L485,Data_Validation!$A:$E,5,0)</f>
        <v>$</v>
      </c>
      <c r="X485" s="153">
        <f>+VLOOKUP($L485,Data_Validation!$A:$F,6,0)</f>
        <v>0</v>
      </c>
    </row>
    <row r="486" spans="1:24" ht="15.75" customHeight="1">
      <c r="A486" s="1430" t="s">
        <v>1382</v>
      </c>
      <c r="B486" s="1433">
        <v>9406</v>
      </c>
      <c r="C486" s="1432">
        <v>57852.639999999999</v>
      </c>
      <c r="D486" s="1432">
        <v>9114.15</v>
      </c>
      <c r="E486" s="1432">
        <v>66966.789999999994</v>
      </c>
      <c r="F486" s="1430" t="s">
        <v>1232</v>
      </c>
      <c r="G486" s="1430" t="s">
        <v>2169</v>
      </c>
      <c r="H486" s="1233"/>
      <c r="I486" s="1234"/>
      <c r="J486" s="1234"/>
      <c r="K486" s="1234"/>
      <c r="L486" s="150">
        <f t="shared" si="18"/>
        <v>9406</v>
      </c>
      <c r="M486" s="151" t="str">
        <f t="shared" si="19"/>
        <v>FRAIS BANCAIRES</v>
      </c>
      <c r="N486" s="152">
        <f>+IF(OR($Q486=Parametres!$G$2,$Q486=Parametres!$G$3),I486,C486)</f>
        <v>57852.639999999999</v>
      </c>
      <c r="O486" s="152">
        <f>+IF(OR($Q486=Parametres!$G$2,$Q486=Parametres!$G$3),J486,D486)</f>
        <v>9114.15</v>
      </c>
      <c r="P486" s="152">
        <f>+IF(OR($Q486=Parametres!$G$2,$Q486=Parametres!$G$3),K486,E486)</f>
        <v>66966.789999999994</v>
      </c>
      <c r="Q486" s="151" t="str">
        <f t="shared" si="34"/>
        <v>9-Autres déductions</v>
      </c>
      <c r="R486" s="150" t="str">
        <f t="shared" si="34"/>
        <v>9402</v>
      </c>
      <c r="S486" s="151">
        <f t="shared" si="34"/>
        <v>0</v>
      </c>
      <c r="T486" s="153">
        <f>+VLOOKUP($L486,Data_Validation!$A:$D,1,0)</f>
        <v>9406</v>
      </c>
      <c r="U486" s="153" t="str">
        <f>+VLOOKUP($L486,Data_Validation!$A:$D,3,0)</f>
        <v>Véhicules neufs</v>
      </c>
      <c r="V486" s="153" t="str">
        <f>+VLOOKUP($L486,Data_Validation!$A:$D,4,0)</f>
        <v>Frais bancaires</v>
      </c>
      <c r="W486" s="153" t="str">
        <f>+VLOOKUP($L486,Data_Validation!$A:$E,5,0)</f>
        <v>$</v>
      </c>
      <c r="X486" s="153">
        <f>+VLOOKUP($L486,Data_Validation!$A:$F,6,0)</f>
        <v>0</v>
      </c>
    </row>
    <row r="487" spans="1:24" ht="15" customHeight="1">
      <c r="A487" s="1116"/>
      <c r="B487" s="1117"/>
      <c r="C487" s="1115"/>
      <c r="D487" s="1115"/>
      <c r="E487" s="1115"/>
      <c r="F487" s="1116"/>
      <c r="G487" s="1116"/>
      <c r="H487" s="1112"/>
      <c r="I487" s="1113"/>
      <c r="J487" s="1113"/>
      <c r="K487" s="1113"/>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16"/>
      <c r="B488" s="1117"/>
      <c r="C488" s="1115"/>
      <c r="D488" s="1115"/>
      <c r="E488" s="1115"/>
      <c r="F488" s="1116"/>
      <c r="G488" s="1116"/>
      <c r="H488" s="1112"/>
      <c r="I488" s="1113"/>
      <c r="J488" s="1113"/>
      <c r="K488" s="1113"/>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6"/>
      <c r="B489" s="1117"/>
      <c r="C489" s="1115"/>
      <c r="D489" s="1115"/>
      <c r="E489" s="1115"/>
      <c r="F489" s="1116"/>
      <c r="G489" s="1116"/>
      <c r="H489" s="1112"/>
      <c r="I489" s="1113"/>
      <c r="J489" s="1113"/>
      <c r="K489" s="1113"/>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6"/>
      <c r="B490" s="1117"/>
      <c r="C490" s="1115"/>
      <c r="D490" s="1115"/>
      <c r="E490" s="1115"/>
      <c r="F490" s="1116"/>
      <c r="G490" s="1116"/>
      <c r="H490" s="1112"/>
      <c r="I490" s="1113"/>
      <c r="J490" s="1113"/>
      <c r="K490" s="1113"/>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6"/>
      <c r="B491" s="1117"/>
      <c r="C491" s="1115"/>
      <c r="D491" s="1115"/>
      <c r="E491" s="1115"/>
      <c r="F491" s="1116"/>
      <c r="G491" s="1116"/>
      <c r="H491" s="1112"/>
      <c r="I491" s="1113"/>
      <c r="J491" s="1113"/>
      <c r="K491" s="1113"/>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6"/>
      <c r="B492" s="1117"/>
      <c r="C492" s="1115"/>
      <c r="D492" s="1115"/>
      <c r="E492" s="1115"/>
      <c r="F492" s="1116"/>
      <c r="G492" s="1116"/>
      <c r="H492" s="1112"/>
      <c r="I492" s="1113"/>
      <c r="J492" s="1113"/>
      <c r="K492" s="1113"/>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6"/>
      <c r="B493" s="1117"/>
      <c r="C493" s="1115"/>
      <c r="D493" s="1115"/>
      <c r="E493" s="1115"/>
      <c r="F493" s="1116"/>
      <c r="G493" s="1116"/>
      <c r="H493" s="1112"/>
      <c r="I493" s="1113"/>
      <c r="J493" s="1113"/>
      <c r="K493" s="1113"/>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6"/>
      <c r="B494" s="1117"/>
      <c r="C494" s="1115"/>
      <c r="D494" s="1115"/>
      <c r="E494" s="1115"/>
      <c r="F494" s="1116"/>
      <c r="G494" s="1116"/>
      <c r="H494" s="1112"/>
      <c r="I494" s="1113"/>
      <c r="J494" s="1113"/>
      <c r="K494" s="111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6"/>
      <c r="B495" s="1117"/>
      <c r="C495" s="1115"/>
      <c r="D495" s="1115"/>
      <c r="E495" s="1115"/>
      <c r="F495" s="1116"/>
      <c r="G495" s="1116"/>
      <c r="H495" s="1112"/>
      <c r="I495" s="1113"/>
      <c r="J495" s="1113"/>
      <c r="K495" s="111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6"/>
      <c r="B496" s="1117"/>
      <c r="C496" s="1115"/>
      <c r="D496" s="1115"/>
      <c r="E496" s="1115"/>
      <c r="F496" s="1116"/>
      <c r="G496" s="1116"/>
      <c r="H496" s="1112"/>
      <c r="I496" s="1113"/>
      <c r="J496" s="1113"/>
      <c r="K496" s="111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6"/>
      <c r="B497" s="1117"/>
      <c r="C497" s="1115"/>
      <c r="D497" s="1115"/>
      <c r="E497" s="1115"/>
      <c r="F497" s="1116"/>
      <c r="G497" s="1116"/>
      <c r="H497" s="1112"/>
      <c r="I497" s="1113"/>
      <c r="J497" s="1113"/>
      <c r="K497" s="111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6"/>
      <c r="B498" s="1117"/>
      <c r="C498" s="1115"/>
      <c r="D498" s="1115"/>
      <c r="E498" s="1115"/>
      <c r="F498" s="1116"/>
      <c r="G498" s="1116"/>
      <c r="H498" s="1112"/>
      <c r="I498" s="1113"/>
      <c r="J498" s="1113"/>
      <c r="K498" s="111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6"/>
      <c r="B499" s="1117"/>
      <c r="C499" s="1115"/>
      <c r="D499" s="1115"/>
      <c r="E499" s="1115"/>
      <c r="F499" s="1116"/>
      <c r="G499" s="1116"/>
      <c r="H499" s="1112"/>
      <c r="I499" s="1113"/>
      <c r="J499" s="1113"/>
      <c r="K499" s="111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6"/>
      <c r="B500" s="1117"/>
      <c r="C500" s="1115"/>
      <c r="D500" s="1115"/>
      <c r="E500" s="1115"/>
      <c r="F500" s="1116"/>
      <c r="G500" s="1116"/>
      <c r="H500" s="1112"/>
      <c r="I500" s="1113"/>
      <c r="J500" s="1113"/>
      <c r="K500" s="111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6"/>
      <c r="B501" s="1116"/>
      <c r="C501" s="1115"/>
      <c r="D501" s="1115"/>
      <c r="E501" s="1115"/>
      <c r="F501" s="1116"/>
      <c r="G501" s="1116"/>
      <c r="H501" s="1112"/>
      <c r="I501" s="1113"/>
      <c r="J501" s="1113"/>
      <c r="K501" s="111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6"/>
      <c r="B502" s="1116"/>
      <c r="C502" s="1115"/>
      <c r="D502" s="1115"/>
      <c r="E502" s="1115"/>
      <c r="F502" s="1116"/>
      <c r="G502" s="1116"/>
      <c r="H502" s="1112"/>
      <c r="I502" s="1113"/>
      <c r="J502" s="1113"/>
      <c r="K502" s="111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6"/>
      <c r="B503" s="1116"/>
      <c r="C503" s="1115"/>
      <c r="D503" s="1115"/>
      <c r="E503" s="1115"/>
      <c r="F503" s="1116"/>
      <c r="G503" s="1116"/>
      <c r="H503" s="1112"/>
      <c r="I503" s="1113"/>
      <c r="J503" s="1113"/>
      <c r="K503" s="111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6"/>
      <c r="B504" s="1116"/>
      <c r="C504" s="1115"/>
      <c r="D504" s="1115"/>
      <c r="E504" s="1115"/>
      <c r="F504" s="1116"/>
      <c r="G504" s="1116"/>
      <c r="H504" s="1112"/>
      <c r="I504" s="1113"/>
      <c r="J504" s="1113"/>
      <c r="K504" s="111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6"/>
      <c r="B505" s="1116"/>
      <c r="C505" s="1115"/>
      <c r="D505" s="1115"/>
      <c r="E505" s="1115"/>
      <c r="F505" s="1116"/>
      <c r="G505" s="1116"/>
      <c r="H505" s="1112"/>
      <c r="I505" s="1113"/>
      <c r="J505" s="1113"/>
      <c r="K505" s="111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6"/>
      <c r="B506" s="1116"/>
      <c r="C506" s="1115"/>
      <c r="D506" s="1115"/>
      <c r="E506" s="1115"/>
      <c r="F506" s="1116"/>
      <c r="G506" s="1116"/>
      <c r="H506" s="1112"/>
      <c r="I506" s="1113"/>
      <c r="J506" s="1113"/>
      <c r="K506" s="111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6"/>
      <c r="B507" s="1116"/>
      <c r="C507" s="1115"/>
      <c r="D507" s="1115"/>
      <c r="E507" s="1115"/>
      <c r="F507" s="1116"/>
      <c r="G507" s="1116"/>
      <c r="H507" s="1112"/>
      <c r="I507" s="1113"/>
      <c r="J507" s="1113"/>
      <c r="K507" s="111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6"/>
      <c r="B508" s="1116"/>
      <c r="C508" s="1115"/>
      <c r="D508" s="1115"/>
      <c r="E508" s="1115"/>
      <c r="F508" s="1116"/>
      <c r="G508" s="1116"/>
      <c r="H508" s="1112"/>
      <c r="I508" s="1113"/>
      <c r="J508" s="1113"/>
      <c r="K508" s="111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6"/>
      <c r="B509" s="1116"/>
      <c r="C509" s="1115"/>
      <c r="D509" s="1115"/>
      <c r="E509" s="1115"/>
      <c r="F509" s="1116"/>
      <c r="G509" s="1116"/>
      <c r="H509" s="1112"/>
      <c r="I509" s="1113"/>
      <c r="J509" s="1113"/>
      <c r="K509" s="111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6"/>
      <c r="B510" s="1116"/>
      <c r="C510" s="1115"/>
      <c r="D510" s="1115"/>
      <c r="E510" s="1115"/>
      <c r="F510" s="1116"/>
      <c r="G510" s="1116"/>
      <c r="H510" s="1112"/>
      <c r="I510" s="1113"/>
      <c r="J510" s="1113"/>
      <c r="K510" s="111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12"/>
      <c r="B511" s="1112"/>
      <c r="C511" s="1114"/>
      <c r="D511" s="1114"/>
      <c r="E511" s="1114"/>
      <c r="F511" s="1112"/>
      <c r="G511" s="1112"/>
      <c r="H511" s="1112"/>
      <c r="I511" s="1113"/>
      <c r="J511" s="1113"/>
      <c r="K511" s="111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12"/>
      <c r="B512" s="1112"/>
      <c r="C512" s="1114"/>
      <c r="D512" s="1114"/>
      <c r="E512" s="1114"/>
      <c r="F512" s="1112"/>
      <c r="G512" s="1112"/>
      <c r="H512" s="1112"/>
      <c r="I512" s="1113"/>
      <c r="J512" s="1113"/>
      <c r="K512" s="111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12"/>
      <c r="B513" s="1112"/>
      <c r="C513" s="1114"/>
      <c r="D513" s="1114"/>
      <c r="E513" s="1114"/>
      <c r="F513" s="1112"/>
      <c r="G513" s="1112"/>
      <c r="H513" s="1112"/>
      <c r="I513" s="1113"/>
      <c r="J513" s="1113"/>
      <c r="K513" s="111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12"/>
      <c r="B514" s="1112"/>
      <c r="C514" s="1114"/>
      <c r="D514" s="1114"/>
      <c r="E514" s="1114"/>
      <c r="F514" s="1112"/>
      <c r="G514" s="1112"/>
      <c r="H514" s="1112"/>
      <c r="I514" s="1113"/>
      <c r="J514" s="1113"/>
      <c r="K514" s="111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12"/>
      <c r="B515" s="1112"/>
      <c r="C515" s="1114"/>
      <c r="D515" s="1114"/>
      <c r="E515" s="1114"/>
      <c r="F515" s="1112"/>
      <c r="G515" s="1112"/>
      <c r="H515" s="1112"/>
      <c r="I515" s="1113"/>
      <c r="J515" s="1113"/>
      <c r="K515" s="111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12"/>
      <c r="B516" s="1112"/>
      <c r="C516" s="1114"/>
      <c r="D516" s="1114"/>
      <c r="E516" s="1114"/>
      <c r="F516" s="1112"/>
      <c r="G516" s="1112"/>
      <c r="H516" s="1112"/>
      <c r="I516" s="1113"/>
      <c r="J516" s="1113"/>
      <c r="K516" s="111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12"/>
      <c r="B517" s="1112"/>
      <c r="C517" s="1114"/>
      <c r="D517" s="1114"/>
      <c r="E517" s="1114"/>
      <c r="F517" s="1112"/>
      <c r="G517" s="1112"/>
      <c r="H517" s="1112"/>
      <c r="I517" s="1113"/>
      <c r="J517" s="1113"/>
      <c r="K517" s="111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12"/>
      <c r="B518" s="1112"/>
      <c r="C518" s="1114"/>
      <c r="D518" s="1114"/>
      <c r="E518" s="1114"/>
      <c r="F518" s="1112"/>
      <c r="G518" s="1112"/>
      <c r="H518" s="1112"/>
      <c r="I518" s="1113"/>
      <c r="J518" s="1113"/>
      <c r="K518" s="111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12"/>
      <c r="B519" s="1112"/>
      <c r="C519" s="1114"/>
      <c r="D519" s="1114"/>
      <c r="E519" s="1114"/>
      <c r="F519" s="1112"/>
      <c r="G519" s="1112"/>
      <c r="H519" s="1112"/>
      <c r="I519" s="1113"/>
      <c r="J519" s="1113"/>
      <c r="K519" s="111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12"/>
      <c r="B520" s="1112"/>
      <c r="C520" s="1114"/>
      <c r="D520" s="1114"/>
      <c r="E520" s="1114"/>
      <c r="F520" s="1112"/>
      <c r="G520" s="1112"/>
      <c r="H520" s="1112"/>
      <c r="I520" s="1113"/>
      <c r="J520" s="1113"/>
      <c r="K520" s="111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12"/>
      <c r="B521" s="1112"/>
      <c r="C521" s="1114"/>
      <c r="D521" s="1114"/>
      <c r="E521" s="1114"/>
      <c r="F521" s="1112"/>
      <c r="G521" s="1112"/>
      <c r="H521" s="1112"/>
      <c r="I521" s="1113"/>
      <c r="J521" s="1113"/>
      <c r="K521" s="111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12"/>
      <c r="B522" s="1112"/>
      <c r="C522" s="1114"/>
      <c r="D522" s="1114"/>
      <c r="E522" s="1114"/>
      <c r="F522" s="1112"/>
      <c r="G522" s="1112"/>
      <c r="H522" s="1112"/>
      <c r="I522" s="1113"/>
      <c r="J522" s="1113"/>
      <c r="K522" s="111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12"/>
      <c r="B523" s="1112"/>
      <c r="C523" s="1114"/>
      <c r="D523" s="1114"/>
      <c r="E523" s="1114"/>
      <c r="F523" s="1112"/>
      <c r="G523" s="1112"/>
      <c r="H523" s="1112"/>
      <c r="I523" s="1113"/>
      <c r="J523" s="1113"/>
      <c r="K523" s="111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12"/>
      <c r="B524" s="1112"/>
      <c r="C524" s="1114"/>
      <c r="D524" s="1114"/>
      <c r="E524" s="1114"/>
      <c r="F524" s="1112"/>
      <c r="G524" s="1112"/>
      <c r="H524" s="1112"/>
      <c r="I524" s="1113"/>
      <c r="J524" s="1113"/>
      <c r="K524" s="111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12"/>
      <c r="B525" s="1112"/>
      <c r="C525" s="1114"/>
      <c r="D525" s="1114"/>
      <c r="E525" s="1114"/>
      <c r="F525" s="1112"/>
      <c r="G525" s="1112"/>
      <c r="H525" s="1112"/>
      <c r="I525" s="1113"/>
      <c r="J525" s="1113"/>
      <c r="K525" s="111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12"/>
      <c r="B526" s="1112"/>
      <c r="C526" s="1114"/>
      <c r="D526" s="1114"/>
      <c r="E526" s="1114"/>
      <c r="F526" s="1112"/>
      <c r="G526" s="1112"/>
      <c r="H526" s="1112"/>
      <c r="I526" s="1113"/>
      <c r="J526" s="1113"/>
      <c r="K526" s="111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12"/>
      <c r="B527" s="1112"/>
      <c r="C527" s="1114"/>
      <c r="D527" s="1114"/>
      <c r="E527" s="1114"/>
      <c r="F527" s="1112"/>
      <c r="G527" s="1112"/>
      <c r="H527" s="1112"/>
      <c r="I527" s="1113"/>
      <c r="J527" s="1113"/>
      <c r="K527" s="111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12"/>
      <c r="B528" s="1112"/>
      <c r="C528" s="1114"/>
      <c r="D528" s="1114"/>
      <c r="E528" s="1114"/>
      <c r="F528" s="1112"/>
      <c r="G528" s="1112"/>
      <c r="H528" s="1112"/>
      <c r="I528" s="1113"/>
      <c r="J528" s="1113"/>
      <c r="K528" s="111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12"/>
      <c r="B529" s="1112"/>
      <c r="C529" s="1114"/>
      <c r="D529" s="1114"/>
      <c r="E529" s="1114"/>
      <c r="F529" s="1112"/>
      <c r="G529" s="1112"/>
      <c r="H529" s="1112"/>
      <c r="I529" s="1113"/>
      <c r="J529" s="1113"/>
      <c r="K529" s="111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12"/>
      <c r="B530" s="1112"/>
      <c r="C530" s="1114"/>
      <c r="D530" s="1114"/>
      <c r="E530" s="1114"/>
      <c r="F530" s="1112"/>
      <c r="G530" s="1112"/>
      <c r="H530" s="1112"/>
      <c r="I530" s="1113"/>
      <c r="J530" s="1113"/>
      <c r="K530" s="1113"/>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12"/>
      <c r="B531" s="1112"/>
      <c r="C531" s="1114"/>
      <c r="D531" s="1114"/>
      <c r="E531" s="1114"/>
      <c r="F531" s="1112"/>
      <c r="G531" s="1112"/>
      <c r="H531" s="1112"/>
      <c r="I531" s="1113"/>
      <c r="J531" s="1113"/>
      <c r="K531" s="111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12"/>
      <c r="B532" s="1112"/>
      <c r="C532" s="1114"/>
      <c r="D532" s="1114"/>
      <c r="E532" s="1114"/>
      <c r="F532" s="1112"/>
      <c r="G532" s="1112"/>
      <c r="H532" s="1112"/>
      <c r="I532" s="1113"/>
      <c r="J532" s="1113"/>
      <c r="K532" s="111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12"/>
      <c r="B533" s="1112"/>
      <c r="C533" s="1114"/>
      <c r="D533" s="1114"/>
      <c r="E533" s="1114"/>
      <c r="F533" s="1112"/>
      <c r="G533" s="1112"/>
      <c r="H533" s="1112"/>
      <c r="I533" s="1113"/>
      <c r="J533" s="1113"/>
      <c r="K533" s="111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12"/>
      <c r="B534" s="1112"/>
      <c r="C534" s="1114"/>
      <c r="D534" s="1114"/>
      <c r="E534" s="1114"/>
      <c r="F534" s="1112"/>
      <c r="G534" s="1112"/>
      <c r="H534" s="1112"/>
      <c r="I534" s="1113"/>
      <c r="J534" s="1113"/>
      <c r="K534" s="111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12"/>
      <c r="B535" s="1112"/>
      <c r="C535" s="1114"/>
      <c r="D535" s="1114"/>
      <c r="E535" s="1114"/>
      <c r="F535" s="1112"/>
      <c r="G535" s="1112"/>
      <c r="H535" s="1112"/>
      <c r="I535" s="1113"/>
      <c r="J535" s="1113"/>
      <c r="K535" s="111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12"/>
      <c r="B536" s="1112"/>
      <c r="C536" s="1114"/>
      <c r="D536" s="1114"/>
      <c r="E536" s="1114"/>
      <c r="F536" s="1112"/>
      <c r="G536" s="1112"/>
      <c r="H536" s="1112"/>
      <c r="I536" s="1113"/>
      <c r="J536" s="1113"/>
      <c r="K536" s="111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12"/>
      <c r="B537" s="1112"/>
      <c r="C537" s="1114"/>
      <c r="D537" s="1114"/>
      <c r="E537" s="1114"/>
      <c r="F537" s="1112"/>
      <c r="G537" s="1112"/>
      <c r="H537" s="1112"/>
      <c r="I537" s="1113"/>
      <c r="J537" s="1113"/>
      <c r="K537" s="111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12"/>
      <c r="B538" s="1112"/>
      <c r="C538" s="1114"/>
      <c r="D538" s="1114"/>
      <c r="E538" s="1114"/>
      <c r="F538" s="1112"/>
      <c r="G538" s="1112"/>
      <c r="H538" s="1112"/>
      <c r="I538" s="1113"/>
      <c r="J538" s="1113"/>
      <c r="K538" s="111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12"/>
      <c r="B539" s="1112"/>
      <c r="C539" s="1114"/>
      <c r="D539" s="1114"/>
      <c r="E539" s="1114"/>
      <c r="F539" s="1112"/>
      <c r="G539" s="1112"/>
      <c r="H539" s="1112"/>
      <c r="I539" s="1113"/>
      <c r="J539" s="1113"/>
      <c r="K539" s="111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12"/>
      <c r="B540" s="1112"/>
      <c r="C540" s="1114"/>
      <c r="D540" s="1114"/>
      <c r="E540" s="1114"/>
      <c r="F540" s="1112"/>
      <c r="G540" s="1112"/>
      <c r="H540" s="1112"/>
      <c r="I540" s="1113"/>
      <c r="J540" s="1113"/>
      <c r="K540" s="111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12"/>
      <c r="B541" s="1112"/>
      <c r="C541" s="1114"/>
      <c r="D541" s="1114"/>
      <c r="E541" s="1114"/>
      <c r="F541" s="1112"/>
      <c r="G541" s="1112"/>
      <c r="H541" s="1112"/>
      <c r="I541" s="1113"/>
      <c r="J541" s="1113"/>
      <c r="K541" s="111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12"/>
      <c r="B542" s="1112"/>
      <c r="C542" s="1114"/>
      <c r="D542" s="1114"/>
      <c r="E542" s="1114"/>
      <c r="F542" s="1112"/>
      <c r="G542" s="1112"/>
      <c r="H542" s="1112"/>
      <c r="I542" s="1113"/>
      <c r="J542" s="1113"/>
      <c r="K542" s="111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12"/>
      <c r="B543" s="1112"/>
      <c r="C543" s="1114"/>
      <c r="D543" s="1114"/>
      <c r="E543" s="1114"/>
      <c r="F543" s="1112"/>
      <c r="G543" s="1112"/>
      <c r="H543" s="1112"/>
      <c r="I543" s="1113"/>
      <c r="J543" s="1113"/>
      <c r="K543" s="111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12"/>
      <c r="B544" s="1112"/>
      <c r="C544" s="1114"/>
      <c r="D544" s="1114"/>
      <c r="E544" s="1114"/>
      <c r="F544" s="1112"/>
      <c r="G544" s="1112"/>
      <c r="H544" s="1112"/>
      <c r="I544" s="1113"/>
      <c r="J544" s="1113"/>
      <c r="K544" s="111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12"/>
      <c r="B545" s="1112"/>
      <c r="C545" s="1114"/>
      <c r="D545" s="1114"/>
      <c r="E545" s="1114"/>
      <c r="F545" s="1112"/>
      <c r="G545" s="1112"/>
      <c r="H545" s="1112"/>
      <c r="I545" s="1113"/>
      <c r="J545" s="1113"/>
      <c r="K545" s="111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12"/>
      <c r="B546" s="1112"/>
      <c r="C546" s="1114"/>
      <c r="D546" s="1114"/>
      <c r="E546" s="1114"/>
      <c r="F546" s="1112"/>
      <c r="G546" s="1112"/>
      <c r="H546" s="1112"/>
      <c r="I546" s="1113"/>
      <c r="J546" s="1113"/>
      <c r="K546" s="111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12"/>
      <c r="B547" s="1112"/>
      <c r="C547" s="1114"/>
      <c r="D547" s="1114"/>
      <c r="E547" s="1114"/>
      <c r="F547" s="1112"/>
      <c r="G547" s="1112"/>
      <c r="H547" s="1112"/>
      <c r="I547" s="1113"/>
      <c r="J547" s="1113"/>
      <c r="K547" s="111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12"/>
      <c r="B548" s="1112"/>
      <c r="C548" s="1114"/>
      <c r="D548" s="1114"/>
      <c r="E548" s="1114"/>
      <c r="F548" s="1112"/>
      <c r="G548" s="1112"/>
      <c r="H548" s="1112"/>
      <c r="I548" s="1113"/>
      <c r="J548" s="1113"/>
      <c r="K548" s="111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12"/>
      <c r="B549" s="1112"/>
      <c r="C549" s="1114"/>
      <c r="D549" s="1114"/>
      <c r="E549" s="1114"/>
      <c r="F549" s="1112"/>
      <c r="G549" s="1112"/>
      <c r="H549" s="1112"/>
      <c r="I549" s="1113"/>
      <c r="J549" s="1113"/>
      <c r="K549" s="111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12"/>
      <c r="B550" s="1112"/>
      <c r="C550" s="1114"/>
      <c r="D550" s="1114"/>
      <c r="E550" s="1114"/>
      <c r="F550" s="1112"/>
      <c r="G550" s="1112"/>
      <c r="H550" s="1112"/>
      <c r="I550" s="1113"/>
      <c r="J550" s="1113"/>
      <c r="K550" s="111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12"/>
      <c r="B551" s="1112"/>
      <c r="C551" s="1114"/>
      <c r="D551" s="1114"/>
      <c r="E551" s="1114"/>
      <c r="F551" s="1112"/>
      <c r="G551" s="1112"/>
      <c r="H551" s="1112"/>
      <c r="I551" s="1113"/>
      <c r="J551" s="1113"/>
      <c r="K551" s="111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12"/>
      <c r="B552" s="1112"/>
      <c r="C552" s="1114"/>
      <c r="D552" s="1114"/>
      <c r="E552" s="1114"/>
      <c r="F552" s="1112"/>
      <c r="G552" s="1112"/>
      <c r="H552" s="1112"/>
      <c r="I552" s="1113"/>
      <c r="J552" s="1113"/>
      <c r="K552" s="111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12"/>
      <c r="B553" s="1112"/>
      <c r="C553" s="1114"/>
      <c r="D553" s="1114"/>
      <c r="E553" s="1114"/>
      <c r="F553" s="1112"/>
      <c r="G553" s="1112"/>
      <c r="H553" s="1112"/>
      <c r="I553" s="1113"/>
      <c r="J553" s="1113"/>
      <c r="K553" s="111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12"/>
      <c r="B554" s="1112"/>
      <c r="C554" s="1114"/>
      <c r="D554" s="1114"/>
      <c r="E554" s="1114"/>
      <c r="F554" s="1112"/>
      <c r="G554" s="1112"/>
      <c r="H554" s="1112"/>
      <c r="I554" s="1113"/>
      <c r="J554" s="1113"/>
      <c r="K554" s="111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12"/>
      <c r="B555" s="1112"/>
      <c r="C555" s="1114"/>
      <c r="D555" s="1114"/>
      <c r="E555" s="1114"/>
      <c r="F555" s="1112"/>
      <c r="G555" s="1112"/>
      <c r="H555" s="1112"/>
      <c r="I555" s="1113"/>
      <c r="J555" s="1113"/>
      <c r="K555" s="111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12"/>
      <c r="B556" s="1112"/>
      <c r="C556" s="1114"/>
      <c r="D556" s="1114"/>
      <c r="E556" s="1114"/>
      <c r="F556" s="1112"/>
      <c r="G556" s="1112"/>
      <c r="H556" s="1112"/>
      <c r="I556" s="1113"/>
      <c r="J556" s="1113"/>
      <c r="K556" s="111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12"/>
      <c r="B557" s="1112"/>
      <c r="C557" s="1114"/>
      <c r="D557" s="1114"/>
      <c r="E557" s="1114"/>
      <c r="F557" s="1112"/>
      <c r="G557" s="1112"/>
      <c r="H557" s="1112"/>
      <c r="I557" s="1113"/>
      <c r="J557" s="1113"/>
      <c r="K557" s="111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12"/>
      <c r="B558" s="1112"/>
      <c r="C558" s="1114"/>
      <c r="D558" s="1114"/>
      <c r="E558" s="1114"/>
      <c r="F558" s="1112"/>
      <c r="G558" s="1112"/>
      <c r="H558" s="1112"/>
      <c r="I558" s="1113"/>
      <c r="J558" s="1113"/>
      <c r="K558" s="111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12"/>
      <c r="B559" s="1112"/>
      <c r="C559" s="1114"/>
      <c r="D559" s="1114"/>
      <c r="E559" s="1114"/>
      <c r="F559" s="1112"/>
      <c r="G559" s="1112"/>
      <c r="H559" s="1112"/>
      <c r="I559" s="1113"/>
      <c r="J559" s="1113"/>
      <c r="K559" s="111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12"/>
      <c r="B560" s="1112"/>
      <c r="C560" s="1114"/>
      <c r="D560" s="1114"/>
      <c r="E560" s="1114"/>
      <c r="F560" s="1112"/>
      <c r="G560" s="1112"/>
      <c r="H560" s="1112"/>
      <c r="I560" s="1113"/>
      <c r="J560" s="1113"/>
      <c r="K560" s="111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12"/>
      <c r="B561" s="1112"/>
      <c r="C561" s="1114"/>
      <c r="D561" s="1114"/>
      <c r="E561" s="1114"/>
      <c r="F561" s="1112"/>
      <c r="G561" s="1112"/>
      <c r="H561" s="1112"/>
      <c r="I561" s="1113"/>
      <c r="J561" s="1113"/>
      <c r="K561" s="111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12"/>
      <c r="B562" s="1112"/>
      <c r="C562" s="1114"/>
      <c r="D562" s="1114"/>
      <c r="E562" s="1114"/>
      <c r="F562" s="1112"/>
      <c r="G562" s="1112"/>
      <c r="H562" s="1112"/>
      <c r="I562" s="1113"/>
      <c r="J562" s="1113"/>
      <c r="K562" s="111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12"/>
      <c r="B563" s="1112"/>
      <c r="C563" s="1114"/>
      <c r="D563" s="1114"/>
      <c r="E563" s="1114"/>
      <c r="F563" s="1112"/>
      <c r="G563" s="1112"/>
      <c r="H563" s="1112"/>
      <c r="I563" s="1113"/>
      <c r="J563" s="1113"/>
      <c r="K563" s="111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12"/>
      <c r="B564" s="1112"/>
      <c r="C564" s="1114"/>
      <c r="D564" s="1114"/>
      <c r="E564" s="1114"/>
      <c r="F564" s="1112"/>
      <c r="G564" s="1112"/>
      <c r="H564" s="1112"/>
      <c r="I564" s="1113"/>
      <c r="J564" s="1113"/>
      <c r="K564" s="111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12"/>
      <c r="B565" s="1112"/>
      <c r="C565" s="1114"/>
      <c r="D565" s="1114"/>
      <c r="E565" s="1114"/>
      <c r="F565" s="1112"/>
      <c r="G565" s="1112"/>
      <c r="H565" s="1112"/>
      <c r="I565" s="1113"/>
      <c r="J565" s="1113"/>
      <c r="K565" s="111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12"/>
      <c r="B566" s="1112"/>
      <c r="C566" s="1114"/>
      <c r="D566" s="1114"/>
      <c r="E566" s="1114"/>
      <c r="F566" s="1112"/>
      <c r="G566" s="1112"/>
      <c r="H566" s="1112"/>
      <c r="I566" s="1113"/>
      <c r="J566" s="1113"/>
      <c r="K566" s="111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12"/>
      <c r="B567" s="1112"/>
      <c r="C567" s="1114"/>
      <c r="D567" s="1114"/>
      <c r="E567" s="1114"/>
      <c r="F567" s="1112"/>
      <c r="G567" s="1112"/>
      <c r="H567" s="1112"/>
      <c r="I567" s="1113"/>
      <c r="J567" s="1113"/>
      <c r="K567" s="111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12"/>
      <c r="B568" s="1112"/>
      <c r="C568" s="1114"/>
      <c r="D568" s="1114"/>
      <c r="E568" s="1114"/>
      <c r="F568" s="1112"/>
      <c r="G568" s="1112"/>
      <c r="H568" s="1112"/>
      <c r="I568" s="1113"/>
      <c r="J568" s="1113"/>
      <c r="K568" s="111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12"/>
      <c r="B569" s="1112"/>
      <c r="C569" s="1114"/>
      <c r="D569" s="1114"/>
      <c r="E569" s="1114"/>
      <c r="F569" s="1112"/>
      <c r="G569" s="1112"/>
      <c r="H569" s="1112"/>
      <c r="I569" s="1113"/>
      <c r="J569" s="1113"/>
      <c r="K569" s="111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12"/>
      <c r="B570" s="1112"/>
      <c r="C570" s="1114"/>
      <c r="D570" s="1114"/>
      <c r="E570" s="1114"/>
      <c r="F570" s="1112"/>
      <c r="G570" s="1112"/>
      <c r="H570" s="1112"/>
      <c r="I570" s="1113"/>
      <c r="J570" s="1113"/>
      <c r="K570" s="111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12"/>
      <c r="B571" s="1112"/>
      <c r="C571" s="1114"/>
      <c r="D571" s="1114"/>
      <c r="E571" s="1114"/>
      <c r="F571" s="1112"/>
      <c r="G571" s="1112"/>
      <c r="H571" s="1112"/>
      <c r="I571" s="1113"/>
      <c r="J571" s="1113"/>
      <c r="K571" s="111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12"/>
      <c r="B572" s="1112"/>
      <c r="C572" s="1114"/>
      <c r="D572" s="1114"/>
      <c r="E572" s="1114"/>
      <c r="F572" s="1112"/>
      <c r="G572" s="1112"/>
      <c r="H572" s="1112"/>
      <c r="I572" s="1113"/>
      <c r="J572" s="1113"/>
      <c r="K572" s="111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12"/>
      <c r="B573" s="1112"/>
      <c r="C573" s="1114"/>
      <c r="D573" s="1114"/>
      <c r="E573" s="1114"/>
      <c r="F573" s="1112"/>
      <c r="G573" s="1112"/>
      <c r="H573" s="1112"/>
      <c r="I573" s="1113"/>
      <c r="J573" s="1113"/>
      <c r="K573" s="111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12"/>
      <c r="B574" s="1112"/>
      <c r="C574" s="1114"/>
      <c r="D574" s="1114"/>
      <c r="E574" s="1114"/>
      <c r="F574" s="1112"/>
      <c r="G574" s="1112"/>
      <c r="H574" s="1112"/>
      <c r="I574" s="1113"/>
      <c r="J574" s="1113"/>
      <c r="K574" s="111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12"/>
      <c r="B575" s="1112"/>
      <c r="C575" s="1114"/>
      <c r="D575" s="1114"/>
      <c r="E575" s="1114"/>
      <c r="F575" s="1112"/>
      <c r="G575" s="1112"/>
      <c r="H575" s="1112"/>
      <c r="I575" s="1113"/>
      <c r="J575" s="1113"/>
      <c r="K575" s="111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12"/>
      <c r="B576" s="1112"/>
      <c r="C576" s="1114"/>
      <c r="D576" s="1114"/>
      <c r="E576" s="1114"/>
      <c r="F576" s="1112"/>
      <c r="G576" s="1112"/>
      <c r="H576" s="1112"/>
      <c r="I576" s="1113"/>
      <c r="J576" s="1113"/>
      <c r="K576" s="111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12"/>
      <c r="B577" s="1112"/>
      <c r="C577" s="1114"/>
      <c r="D577" s="1114"/>
      <c r="E577" s="1114"/>
      <c r="F577" s="1112"/>
      <c r="G577" s="1112"/>
      <c r="H577" s="1112"/>
      <c r="I577" s="1113"/>
      <c r="J577" s="1113"/>
      <c r="K577" s="111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12"/>
      <c r="B578" s="1112"/>
      <c r="C578" s="1114"/>
      <c r="D578" s="1114"/>
      <c r="E578" s="1114"/>
      <c r="F578" s="1112"/>
      <c r="G578" s="1112"/>
      <c r="H578" s="1112"/>
      <c r="I578" s="1113"/>
      <c r="J578" s="1113"/>
      <c r="K578" s="111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12"/>
      <c r="B579" s="1112"/>
      <c r="C579" s="1114"/>
      <c r="D579" s="1114"/>
      <c r="E579" s="1114"/>
      <c r="F579" s="1112"/>
      <c r="G579" s="1112"/>
      <c r="H579" s="1112"/>
      <c r="I579" s="1113"/>
      <c r="J579" s="1113"/>
      <c r="K579" s="111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12"/>
      <c r="B580" s="1112"/>
      <c r="C580" s="1114"/>
      <c r="D580" s="1114"/>
      <c r="E580" s="1114"/>
      <c r="F580" s="1112"/>
      <c r="G580" s="1112"/>
      <c r="H580" s="1112"/>
      <c r="I580" s="1113"/>
      <c r="J580" s="1113"/>
      <c r="K580" s="111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12"/>
      <c r="B581" s="1112"/>
      <c r="C581" s="1114"/>
      <c r="D581" s="1114"/>
      <c r="E581" s="1114"/>
      <c r="F581" s="1112"/>
      <c r="G581" s="1112"/>
      <c r="H581" s="1112"/>
      <c r="I581" s="1113"/>
      <c r="J581" s="1113"/>
      <c r="K581" s="111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12"/>
      <c r="B582" s="1112"/>
      <c r="C582" s="1114"/>
      <c r="D582" s="1114"/>
      <c r="E582" s="1114"/>
      <c r="F582" s="1112"/>
      <c r="G582" s="1112"/>
      <c r="H582" s="1112"/>
      <c r="I582" s="1113"/>
      <c r="J582" s="1113"/>
      <c r="K582" s="111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12"/>
      <c r="B583" s="1112"/>
      <c r="C583" s="1114"/>
      <c r="D583" s="1114"/>
      <c r="E583" s="1114"/>
      <c r="F583" s="1112"/>
      <c r="G583" s="1112"/>
      <c r="H583" s="1112"/>
      <c r="I583" s="1113"/>
      <c r="J583" s="1113"/>
      <c r="K583" s="111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12"/>
      <c r="B584" s="1112"/>
      <c r="C584" s="1114"/>
      <c r="D584" s="1114"/>
      <c r="E584" s="1114"/>
      <c r="F584" s="1112"/>
      <c r="G584" s="1112"/>
      <c r="H584" s="1112"/>
      <c r="I584" s="1113"/>
      <c r="J584" s="1113"/>
      <c r="K584" s="111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12"/>
      <c r="B585" s="1112"/>
      <c r="C585" s="1114"/>
      <c r="D585" s="1114"/>
      <c r="E585" s="1114"/>
      <c r="F585" s="1112"/>
      <c r="G585" s="1112"/>
      <c r="H585" s="1112"/>
      <c r="I585" s="1113"/>
      <c r="J585" s="1113"/>
      <c r="K585" s="111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12"/>
      <c r="B586" s="1112"/>
      <c r="C586" s="1114"/>
      <c r="D586" s="1114"/>
      <c r="E586" s="1114"/>
      <c r="F586" s="1112"/>
      <c r="G586" s="1112"/>
      <c r="H586" s="1112"/>
      <c r="I586" s="1113"/>
      <c r="J586" s="1113"/>
      <c r="K586" s="111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12"/>
      <c r="B587" s="1112"/>
      <c r="C587" s="1114"/>
      <c r="D587" s="1114"/>
      <c r="E587" s="1114"/>
      <c r="F587" s="1112"/>
      <c r="G587" s="1112"/>
      <c r="H587" s="1112"/>
      <c r="I587" s="1113"/>
      <c r="J587" s="1113"/>
      <c r="K587" s="111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12"/>
      <c r="B588" s="1112"/>
      <c r="C588" s="1114"/>
      <c r="D588" s="1114"/>
      <c r="E588" s="1114"/>
      <c r="F588" s="1112"/>
      <c r="G588" s="1112"/>
      <c r="H588" s="1112"/>
      <c r="I588" s="1113"/>
      <c r="J588" s="1113"/>
      <c r="K588" s="111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12"/>
      <c r="B589" s="1112"/>
      <c r="C589" s="1114"/>
      <c r="D589" s="1114"/>
      <c r="E589" s="1114"/>
      <c r="F589" s="1112"/>
      <c r="G589" s="1112"/>
      <c r="H589" s="1112"/>
      <c r="I589" s="1113"/>
      <c r="J589" s="1113"/>
      <c r="K589" s="111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12"/>
      <c r="B590" s="1112"/>
      <c r="C590" s="1114"/>
      <c r="D590" s="1114"/>
      <c r="E590" s="1114"/>
      <c r="F590" s="1112"/>
      <c r="G590" s="1112"/>
      <c r="H590" s="1112"/>
      <c r="I590" s="1113"/>
      <c r="J590" s="1113"/>
      <c r="K590" s="111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12"/>
      <c r="B591" s="1112"/>
      <c r="C591" s="1114"/>
      <c r="D591" s="1114"/>
      <c r="E591" s="1114"/>
      <c r="F591" s="1112"/>
      <c r="G591" s="1112"/>
      <c r="H591" s="1112"/>
      <c r="I591" s="1113"/>
      <c r="J591" s="1113"/>
      <c r="K591" s="111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12"/>
      <c r="B592" s="1112"/>
      <c r="C592" s="1114"/>
      <c r="D592" s="1114"/>
      <c r="E592" s="1114"/>
      <c r="F592" s="1112"/>
      <c r="G592" s="1112"/>
      <c r="H592" s="1112"/>
      <c r="I592" s="1113"/>
      <c r="J592" s="1113"/>
      <c r="K592" s="111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12"/>
      <c r="B593" s="1112"/>
      <c r="C593" s="1114"/>
      <c r="D593" s="1114"/>
      <c r="E593" s="1114"/>
      <c r="F593" s="1112"/>
      <c r="G593" s="1112"/>
      <c r="H593" s="1112"/>
      <c r="I593" s="1113"/>
      <c r="J593" s="1113"/>
      <c r="K593" s="111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12"/>
      <c r="B594" s="1112"/>
      <c r="C594" s="1114"/>
      <c r="D594" s="1114"/>
      <c r="E594" s="1114"/>
      <c r="F594" s="1112"/>
      <c r="G594" s="1112"/>
      <c r="H594" s="1112"/>
      <c r="I594" s="1113"/>
      <c r="J594" s="1113"/>
      <c r="K594" s="111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12"/>
      <c r="B595" s="1112"/>
      <c r="C595" s="1114"/>
      <c r="D595" s="1114"/>
      <c r="E595" s="1114"/>
      <c r="F595" s="1112"/>
      <c r="G595" s="1112"/>
      <c r="H595" s="1112"/>
      <c r="I595" s="1113"/>
      <c r="J595" s="1113"/>
      <c r="K595" s="111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12"/>
      <c r="B596" s="1112"/>
      <c r="C596" s="1114"/>
      <c r="D596" s="1114"/>
      <c r="E596" s="1114"/>
      <c r="F596" s="1112"/>
      <c r="G596" s="1112"/>
      <c r="H596" s="1112"/>
      <c r="I596" s="1113"/>
      <c r="J596" s="1113"/>
      <c r="K596" s="111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12"/>
      <c r="B597" s="1112"/>
      <c r="C597" s="1114"/>
      <c r="D597" s="1114"/>
      <c r="E597" s="1114"/>
      <c r="F597" s="1112"/>
      <c r="G597" s="1112"/>
      <c r="H597" s="1112"/>
      <c r="I597" s="1113"/>
      <c r="J597" s="1113"/>
      <c r="K597" s="111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12"/>
      <c r="B598" s="1112"/>
      <c r="C598" s="1114"/>
      <c r="D598" s="1114"/>
      <c r="E598" s="1114"/>
      <c r="F598" s="1112"/>
      <c r="G598" s="1112"/>
      <c r="H598" s="1112"/>
      <c r="I598" s="1113"/>
      <c r="J598" s="1113"/>
      <c r="K598" s="111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12"/>
      <c r="B599" s="1112"/>
      <c r="C599" s="1114"/>
      <c r="D599" s="1114"/>
      <c r="E599" s="1114"/>
      <c r="F599" s="1112"/>
      <c r="G599" s="1112"/>
      <c r="H599" s="1112"/>
      <c r="I599" s="1113"/>
      <c r="J599" s="1113"/>
      <c r="K599" s="111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12"/>
      <c r="B600" s="1112"/>
      <c r="C600" s="1114"/>
      <c r="D600" s="1114"/>
      <c r="E600" s="1114"/>
      <c r="F600" s="1112"/>
      <c r="G600" s="1112"/>
      <c r="H600" s="1112"/>
      <c r="I600" s="1113"/>
      <c r="J600" s="1113"/>
      <c r="K600" s="111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12"/>
      <c r="B601" s="1112"/>
      <c r="C601" s="1114"/>
      <c r="D601" s="1114"/>
      <c r="E601" s="1114"/>
      <c r="F601" s="1112"/>
      <c r="G601" s="1112"/>
      <c r="H601" s="1112"/>
      <c r="I601" s="1113"/>
      <c r="J601" s="1113"/>
      <c r="K601" s="111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12"/>
      <c r="B602" s="1112"/>
      <c r="C602" s="1114"/>
      <c r="D602" s="1114"/>
      <c r="E602" s="1114"/>
      <c r="F602" s="1112"/>
      <c r="G602" s="1112"/>
      <c r="H602" s="1112"/>
      <c r="I602" s="1113"/>
      <c r="J602" s="1113"/>
      <c r="K602" s="111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12"/>
      <c r="B603" s="1112"/>
      <c r="C603" s="1114"/>
      <c r="D603" s="1114"/>
      <c r="E603" s="1114"/>
      <c r="F603" s="1112"/>
      <c r="G603" s="1112"/>
      <c r="H603" s="1112"/>
      <c r="I603" s="1113"/>
      <c r="J603" s="1113"/>
      <c r="K603" s="111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12"/>
      <c r="B604" s="1112"/>
      <c r="C604" s="1114"/>
      <c r="D604" s="1114"/>
      <c r="E604" s="1114"/>
      <c r="F604" s="1112"/>
      <c r="G604" s="1112"/>
      <c r="H604" s="1112"/>
      <c r="I604" s="1113"/>
      <c r="J604" s="1113"/>
      <c r="K604" s="111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12"/>
      <c r="B605" s="1112"/>
      <c r="C605" s="1114"/>
      <c r="D605" s="1114"/>
      <c r="E605" s="1114"/>
      <c r="F605" s="1112"/>
      <c r="G605" s="1112"/>
      <c r="H605" s="1112"/>
      <c r="I605" s="1113"/>
      <c r="J605" s="1113"/>
      <c r="K605" s="111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12"/>
      <c r="B606" s="1112"/>
      <c r="C606" s="1114"/>
      <c r="D606" s="1114"/>
      <c r="E606" s="1114"/>
      <c r="F606" s="1112"/>
      <c r="G606" s="1112"/>
      <c r="H606" s="1112"/>
      <c r="I606" s="1113"/>
      <c r="J606" s="1113"/>
      <c r="K606" s="111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12"/>
      <c r="B607" s="1112"/>
      <c r="C607" s="1114"/>
      <c r="D607" s="1114"/>
      <c r="E607" s="1114"/>
      <c r="F607" s="1112"/>
      <c r="G607" s="1112"/>
      <c r="H607" s="1112"/>
      <c r="I607" s="1113"/>
      <c r="J607" s="1113"/>
      <c r="K607" s="111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12"/>
      <c r="B608" s="1112"/>
      <c r="C608" s="1114"/>
      <c r="D608" s="1114"/>
      <c r="E608" s="1114"/>
      <c r="F608" s="1112"/>
      <c r="G608" s="1112"/>
      <c r="H608" s="1112"/>
      <c r="I608" s="1113"/>
      <c r="J608" s="1113"/>
      <c r="K608" s="111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12"/>
      <c r="B609" s="1112"/>
      <c r="C609" s="1114"/>
      <c r="D609" s="1114"/>
      <c r="E609" s="1114"/>
      <c r="F609" s="1112"/>
      <c r="G609" s="1112"/>
      <c r="H609" s="1112"/>
      <c r="I609" s="1113"/>
      <c r="J609" s="1113"/>
      <c r="K609" s="111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12"/>
      <c r="B610" s="1112"/>
      <c r="C610" s="1114"/>
      <c r="D610" s="1114"/>
      <c r="E610" s="1114"/>
      <c r="F610" s="1112"/>
      <c r="G610" s="1112"/>
      <c r="H610" s="1112"/>
      <c r="I610" s="1113"/>
      <c r="J610" s="1113"/>
      <c r="K610" s="111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12"/>
      <c r="B611" s="1112"/>
      <c r="C611" s="1114"/>
      <c r="D611" s="1114"/>
      <c r="E611" s="1114"/>
      <c r="F611" s="1112"/>
      <c r="G611" s="1112"/>
      <c r="H611" s="1112"/>
      <c r="I611" s="1113"/>
      <c r="J611" s="1113"/>
      <c r="K611" s="111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12"/>
      <c r="B612" s="1112"/>
      <c r="C612" s="1114"/>
      <c r="D612" s="1114"/>
      <c r="E612" s="1114"/>
      <c r="F612" s="1112"/>
      <c r="G612" s="1112"/>
      <c r="H612" s="1112"/>
      <c r="I612" s="1113"/>
      <c r="J612" s="1113"/>
      <c r="K612" s="111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12"/>
      <c r="B613" s="1112"/>
      <c r="C613" s="1114"/>
      <c r="D613" s="1114"/>
      <c r="E613" s="1114"/>
      <c r="F613" s="1112"/>
      <c r="G613" s="1112"/>
      <c r="H613" s="1112"/>
      <c r="I613" s="1113"/>
      <c r="J613" s="1113"/>
      <c r="K613" s="111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12"/>
      <c r="B614" s="1112"/>
      <c r="C614" s="1114"/>
      <c r="D614" s="1114"/>
      <c r="E614" s="1114"/>
      <c r="F614" s="1112"/>
      <c r="G614" s="1112"/>
      <c r="H614" s="1112"/>
      <c r="I614" s="1113"/>
      <c r="J614" s="1113"/>
      <c r="K614" s="111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12"/>
      <c r="B615" s="1112"/>
      <c r="C615" s="1114"/>
      <c r="D615" s="1114"/>
      <c r="E615" s="1114"/>
      <c r="F615" s="1112"/>
      <c r="G615" s="1112"/>
      <c r="H615" s="1112"/>
      <c r="I615" s="1113"/>
      <c r="J615" s="1113"/>
      <c r="K615" s="111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12"/>
      <c r="B616" s="1112"/>
      <c r="C616" s="1114"/>
      <c r="D616" s="1114"/>
      <c r="E616" s="1114"/>
      <c r="F616" s="1112"/>
      <c r="G616" s="1112"/>
      <c r="H616" s="1112"/>
      <c r="I616" s="1113"/>
      <c r="J616" s="1113"/>
      <c r="K616" s="111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12"/>
      <c r="B617" s="1112"/>
      <c r="C617" s="1114"/>
      <c r="D617" s="1114"/>
      <c r="E617" s="1114"/>
      <c r="F617" s="1112"/>
      <c r="G617" s="1112"/>
      <c r="H617" s="1112"/>
      <c r="I617" s="1113"/>
      <c r="J617" s="1113"/>
      <c r="K617" s="111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12"/>
      <c r="B618" s="1112"/>
      <c r="C618" s="1114"/>
      <c r="D618" s="1114"/>
      <c r="E618" s="1114"/>
      <c r="F618" s="1112"/>
      <c r="G618" s="1112"/>
      <c r="H618" s="1112"/>
      <c r="I618" s="1113"/>
      <c r="J618" s="1113"/>
      <c r="K618" s="111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12"/>
      <c r="B619" s="1112"/>
      <c r="C619" s="1114"/>
      <c r="D619" s="1114"/>
      <c r="E619" s="1114"/>
      <c r="F619" s="1112"/>
      <c r="G619" s="1112"/>
      <c r="H619" s="1112"/>
      <c r="I619" s="1113"/>
      <c r="J619" s="1113"/>
      <c r="K619" s="111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12"/>
      <c r="B620" s="1112"/>
      <c r="C620" s="1114"/>
      <c r="D620" s="1114"/>
      <c r="E620" s="1114"/>
      <c r="F620" s="1112"/>
      <c r="G620" s="1112"/>
      <c r="H620" s="1112"/>
      <c r="I620" s="1113"/>
      <c r="J620" s="1113"/>
      <c r="K620" s="111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12"/>
      <c r="B621" s="1112"/>
      <c r="C621" s="1114"/>
      <c r="D621" s="1114"/>
      <c r="E621" s="1114"/>
      <c r="F621" s="1112"/>
      <c r="G621" s="1112"/>
      <c r="H621" s="1112"/>
      <c r="I621" s="1113"/>
      <c r="J621" s="1113"/>
      <c r="K621" s="111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12"/>
      <c r="B622" s="1112"/>
      <c r="C622" s="1114"/>
      <c r="D622" s="1114"/>
      <c r="E622" s="1114"/>
      <c r="F622" s="1112"/>
      <c r="G622" s="1112"/>
      <c r="H622" s="1112"/>
      <c r="I622" s="1113"/>
      <c r="J622" s="1113"/>
      <c r="K622" s="1113"/>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12"/>
      <c r="B623" s="1112"/>
      <c r="C623" s="1114"/>
      <c r="D623" s="1114"/>
      <c r="E623" s="1114"/>
      <c r="F623" s="1112"/>
      <c r="G623" s="1112"/>
      <c r="H623" s="1112"/>
      <c r="I623" s="1113"/>
      <c r="J623" s="1113"/>
      <c r="K623" s="111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12"/>
      <c r="B624" s="1112"/>
      <c r="C624" s="1114"/>
      <c r="D624" s="1114"/>
      <c r="E624" s="1114"/>
      <c r="F624" s="1112"/>
      <c r="G624" s="1112"/>
      <c r="H624" s="1112"/>
      <c r="I624" s="1113"/>
      <c r="J624" s="1113"/>
      <c r="K624" s="111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12"/>
      <c r="B625" s="1112"/>
      <c r="C625" s="1114"/>
      <c r="D625" s="1114"/>
      <c r="E625" s="1114"/>
      <c r="F625" s="1112"/>
      <c r="G625" s="1112"/>
      <c r="H625" s="1112"/>
      <c r="I625" s="1113"/>
      <c r="J625" s="1113"/>
      <c r="K625" s="111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12"/>
      <c r="B626" s="1112"/>
      <c r="C626" s="1114"/>
      <c r="D626" s="1114"/>
      <c r="E626" s="1114"/>
      <c r="F626" s="1112"/>
      <c r="G626" s="1112"/>
      <c r="H626" s="1112"/>
      <c r="I626" s="1113"/>
      <c r="J626" s="1113"/>
      <c r="K626" s="111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12"/>
      <c r="B627" s="1112"/>
      <c r="C627" s="1114"/>
      <c r="D627" s="1114"/>
      <c r="E627" s="1114"/>
      <c r="F627" s="1112"/>
      <c r="G627" s="1112"/>
      <c r="H627" s="1112"/>
      <c r="I627" s="1113"/>
      <c r="J627" s="1113"/>
      <c r="K627" s="111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12"/>
      <c r="B628" s="1112"/>
      <c r="C628" s="1114"/>
      <c r="D628" s="1114"/>
      <c r="E628" s="1114"/>
      <c r="F628" s="1112"/>
      <c r="G628" s="1112"/>
      <c r="H628" s="1112"/>
      <c r="I628" s="1113"/>
      <c r="J628" s="1113"/>
      <c r="K628" s="111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12"/>
      <c r="B629" s="1112"/>
      <c r="C629" s="1114"/>
      <c r="D629" s="1114"/>
      <c r="E629" s="1114"/>
      <c r="F629" s="1112"/>
      <c r="G629" s="1112"/>
      <c r="H629" s="1112"/>
      <c r="I629" s="1113"/>
      <c r="J629" s="1113"/>
      <c r="K629" s="111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12"/>
      <c r="B630" s="1112"/>
      <c r="C630" s="1114"/>
      <c r="D630" s="1114"/>
      <c r="E630" s="1114"/>
      <c r="F630" s="1112"/>
      <c r="G630" s="1112"/>
      <c r="H630" s="1112"/>
      <c r="I630" s="1113"/>
      <c r="J630" s="1113"/>
      <c r="K630" s="111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12"/>
      <c r="B631" s="1112"/>
      <c r="C631" s="1114"/>
      <c r="D631" s="1114"/>
      <c r="E631" s="1114"/>
      <c r="F631" s="1112"/>
      <c r="G631" s="1112"/>
      <c r="H631" s="1112"/>
      <c r="I631" s="1113"/>
      <c r="J631" s="1113"/>
      <c r="K631" s="111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12"/>
      <c r="B632" s="1112"/>
      <c r="C632" s="1114"/>
      <c r="D632" s="1114"/>
      <c r="E632" s="1114"/>
      <c r="F632" s="1112"/>
      <c r="G632" s="1112"/>
      <c r="H632" s="1112"/>
      <c r="I632" s="1113"/>
      <c r="J632" s="1113"/>
      <c r="K632" s="111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12"/>
      <c r="B633" s="1112"/>
      <c r="C633" s="1114"/>
      <c r="D633" s="1114"/>
      <c r="E633" s="1114"/>
      <c r="F633" s="1112"/>
      <c r="G633" s="1112"/>
      <c r="H633" s="1112"/>
      <c r="I633" s="1113"/>
      <c r="J633" s="1113"/>
      <c r="K633" s="111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12"/>
      <c r="B634" s="1112"/>
      <c r="C634" s="1114"/>
      <c r="D634" s="1114"/>
      <c r="E634" s="1114"/>
      <c r="F634" s="1112"/>
      <c r="G634" s="1112"/>
      <c r="H634" s="1112"/>
      <c r="I634" s="1113"/>
      <c r="J634" s="1113"/>
      <c r="K634" s="111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12"/>
      <c r="B635" s="1112"/>
      <c r="C635" s="1114"/>
      <c r="D635" s="1114"/>
      <c r="E635" s="1114"/>
      <c r="F635" s="1112"/>
      <c r="G635" s="1112"/>
      <c r="H635" s="1112"/>
      <c r="I635" s="1113"/>
      <c r="J635" s="1113"/>
      <c r="K635" s="111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12"/>
      <c r="B636" s="1112"/>
      <c r="C636" s="1114"/>
      <c r="D636" s="1114"/>
      <c r="E636" s="1114"/>
      <c r="F636" s="1112"/>
      <c r="G636" s="1112"/>
      <c r="H636" s="1112"/>
      <c r="I636" s="1113"/>
      <c r="J636" s="1113"/>
      <c r="K636" s="111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12"/>
      <c r="B637" s="1112"/>
      <c r="C637" s="1114"/>
      <c r="D637" s="1114"/>
      <c r="E637" s="1114"/>
      <c r="F637" s="1112"/>
      <c r="G637" s="1112"/>
      <c r="H637" s="1112"/>
      <c r="I637" s="1113"/>
      <c r="J637" s="1113"/>
      <c r="K637" s="111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12"/>
      <c r="B638" s="1112"/>
      <c r="C638" s="1114"/>
      <c r="D638" s="1114"/>
      <c r="E638" s="1114"/>
      <c r="F638" s="1112"/>
      <c r="G638" s="1112"/>
      <c r="H638" s="1112"/>
      <c r="I638" s="1113"/>
      <c r="J638" s="1113"/>
      <c r="K638" s="111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12"/>
      <c r="B639" s="1112"/>
      <c r="C639" s="1114"/>
      <c r="D639" s="1114"/>
      <c r="E639" s="1114"/>
      <c r="F639" s="1112"/>
      <c r="G639" s="1112"/>
      <c r="H639" s="1112"/>
      <c r="I639" s="1113"/>
      <c r="J639" s="1113"/>
      <c r="K639" s="111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12"/>
      <c r="B640" s="1112"/>
      <c r="C640" s="1114"/>
      <c r="D640" s="1114"/>
      <c r="E640" s="1114"/>
      <c r="F640" s="1112"/>
      <c r="G640" s="1112"/>
      <c r="H640" s="1112"/>
      <c r="I640" s="1113"/>
      <c r="J640" s="1113"/>
      <c r="K640" s="111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12"/>
      <c r="B641" s="1112"/>
      <c r="C641" s="1114"/>
      <c r="D641" s="1114"/>
      <c r="E641" s="1114"/>
      <c r="F641" s="1112"/>
      <c r="G641" s="1112"/>
      <c r="H641" s="1112"/>
      <c r="I641" s="1113"/>
      <c r="J641" s="1113"/>
      <c r="K641" s="111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12"/>
      <c r="B642" s="1112"/>
      <c r="C642" s="1114"/>
      <c r="D642" s="1114"/>
      <c r="E642" s="1114"/>
      <c r="F642" s="1112"/>
      <c r="G642" s="1112"/>
      <c r="H642" s="1112"/>
      <c r="I642" s="1113"/>
      <c r="J642" s="1113"/>
      <c r="K642" s="111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12"/>
      <c r="B643" s="1112"/>
      <c r="C643" s="1114"/>
      <c r="D643" s="1114"/>
      <c r="E643" s="1114"/>
      <c r="F643" s="1112"/>
      <c r="G643" s="1112"/>
      <c r="H643" s="1112"/>
      <c r="I643" s="1113"/>
      <c r="J643" s="1113"/>
      <c r="K643" s="111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12"/>
      <c r="B644" s="1112"/>
      <c r="C644" s="1114"/>
      <c r="D644" s="1114"/>
      <c r="E644" s="1114"/>
      <c r="F644" s="1112"/>
      <c r="G644" s="1112"/>
      <c r="H644" s="1112"/>
      <c r="I644" s="1113"/>
      <c r="J644" s="1113"/>
      <c r="K644" s="111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12"/>
      <c r="B645" s="1112"/>
      <c r="C645" s="1114"/>
      <c r="D645" s="1114"/>
      <c r="E645" s="1114"/>
      <c r="F645" s="1112"/>
      <c r="G645" s="1112"/>
      <c r="H645" s="1112"/>
      <c r="I645" s="1113"/>
      <c r="J645" s="1113"/>
      <c r="K645" s="111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12"/>
      <c r="B646" s="1112"/>
      <c r="C646" s="1114"/>
      <c r="D646" s="1114"/>
      <c r="E646" s="1114"/>
      <c r="F646" s="1112"/>
      <c r="G646" s="1112"/>
      <c r="H646" s="1112"/>
      <c r="I646" s="1113"/>
      <c r="J646" s="1113"/>
      <c r="K646" s="111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12"/>
      <c r="B647" s="1112"/>
      <c r="C647" s="1114"/>
      <c r="D647" s="1114"/>
      <c r="E647" s="1114"/>
      <c r="F647" s="1112"/>
      <c r="G647" s="1112"/>
      <c r="H647" s="1112"/>
      <c r="I647" s="1113"/>
      <c r="J647" s="1113"/>
      <c r="K647" s="111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12"/>
      <c r="B648" s="1112"/>
      <c r="C648" s="1114"/>
      <c r="D648" s="1114"/>
      <c r="E648" s="1114"/>
      <c r="F648" s="1112"/>
      <c r="G648" s="1112"/>
      <c r="H648" s="1112"/>
      <c r="I648" s="1113"/>
      <c r="J648" s="1113"/>
      <c r="K648" s="111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12"/>
      <c r="B649" s="1112"/>
      <c r="C649" s="1114"/>
      <c r="D649" s="1114"/>
      <c r="E649" s="1114"/>
      <c r="F649" s="1112"/>
      <c r="G649" s="1112"/>
      <c r="H649" s="1112"/>
      <c r="I649" s="1113"/>
      <c r="J649" s="1113"/>
      <c r="K649" s="1113"/>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12"/>
      <c r="B650" s="1112"/>
      <c r="C650" s="1114"/>
      <c r="D650" s="1114"/>
      <c r="E650" s="1114"/>
      <c r="F650" s="1112"/>
      <c r="G650" s="1112"/>
      <c r="H650" s="1112"/>
      <c r="I650" s="1113"/>
      <c r="J650" s="1113"/>
      <c r="K650" s="111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12"/>
      <c r="B651" s="1112"/>
      <c r="C651" s="1114"/>
      <c r="D651" s="1114"/>
      <c r="E651" s="1114"/>
      <c r="F651" s="1112"/>
      <c r="G651" s="1112"/>
      <c r="H651" s="1112"/>
      <c r="I651" s="1113"/>
      <c r="J651" s="1113"/>
      <c r="K651" s="1113"/>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12"/>
      <c r="B652" s="1112"/>
      <c r="C652" s="1114"/>
      <c r="D652" s="1114"/>
      <c r="E652" s="1114"/>
      <c r="F652" s="1112"/>
      <c r="G652" s="1112"/>
      <c r="H652" s="1112"/>
      <c r="I652" s="1113"/>
      <c r="J652" s="1113"/>
      <c r="K652" s="111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12"/>
      <c r="B653" s="1112"/>
      <c r="C653" s="1114"/>
      <c r="D653" s="1114"/>
      <c r="E653" s="1114"/>
      <c r="F653" s="1112"/>
      <c r="G653" s="1112"/>
      <c r="H653" s="1112"/>
      <c r="I653" s="1113"/>
      <c r="J653" s="1113"/>
      <c r="K653" s="1113"/>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12"/>
      <c r="B654" s="1112"/>
      <c r="C654" s="1114"/>
      <c r="D654" s="1114"/>
      <c r="E654" s="1114"/>
      <c r="F654" s="1112"/>
      <c r="G654" s="1112"/>
      <c r="H654" s="1112"/>
      <c r="I654" s="1113"/>
      <c r="J654" s="1113"/>
      <c r="K654" s="111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12"/>
      <c r="B655" s="1112"/>
      <c r="C655" s="1114"/>
      <c r="D655" s="1114"/>
      <c r="E655" s="1114"/>
      <c r="F655" s="1112"/>
      <c r="G655" s="1112"/>
      <c r="H655" s="1112"/>
      <c r="I655" s="1113"/>
      <c r="J655" s="1113"/>
      <c r="K655" s="1113"/>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12"/>
      <c r="B656" s="1112"/>
      <c r="C656" s="1114"/>
      <c r="D656" s="1114"/>
      <c r="E656" s="1114"/>
      <c r="F656" s="1112"/>
      <c r="G656" s="1112"/>
      <c r="H656" s="1112"/>
      <c r="I656" s="1113"/>
      <c r="J656" s="1113"/>
      <c r="K656" s="1113"/>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12"/>
      <c r="B657" s="1112"/>
      <c r="C657" s="1114"/>
      <c r="D657" s="1114"/>
      <c r="E657" s="1114"/>
      <c r="F657" s="1112"/>
      <c r="G657" s="1112"/>
      <c r="H657" s="1112"/>
      <c r="I657" s="1113"/>
      <c r="J657" s="1113"/>
      <c r="K657" s="1113"/>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12"/>
      <c r="B658" s="1112"/>
      <c r="C658" s="1114"/>
      <c r="D658" s="1114"/>
      <c r="E658" s="1114"/>
      <c r="F658" s="1112"/>
      <c r="G658" s="1112"/>
      <c r="H658" s="1112"/>
      <c r="I658" s="1113"/>
      <c r="J658" s="1113"/>
      <c r="K658" s="1113"/>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12"/>
      <c r="B659" s="1112"/>
      <c r="C659" s="1114"/>
      <c r="D659" s="1114"/>
      <c r="E659" s="1114"/>
      <c r="F659" s="1112"/>
      <c r="G659" s="1112"/>
      <c r="H659" s="1112"/>
      <c r="I659" s="1113"/>
      <c r="J659" s="1113"/>
      <c r="K659" s="111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12"/>
      <c r="B660" s="1112"/>
      <c r="C660" s="1114"/>
      <c r="D660" s="1114"/>
      <c r="E660" s="1114"/>
      <c r="F660" s="1112"/>
      <c r="G660" s="1112"/>
      <c r="H660" s="1112"/>
      <c r="I660" s="1113"/>
      <c r="J660" s="1113"/>
      <c r="K660" s="111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12"/>
      <c r="B661" s="1112"/>
      <c r="C661" s="1114"/>
      <c r="D661" s="1114"/>
      <c r="E661" s="1114"/>
      <c r="F661" s="1112"/>
      <c r="G661" s="1112"/>
      <c r="H661" s="1112"/>
      <c r="I661" s="1113"/>
      <c r="J661" s="1113"/>
      <c r="K661" s="111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12"/>
      <c r="B662" s="1112"/>
      <c r="C662" s="1114"/>
      <c r="D662" s="1114"/>
      <c r="E662" s="1114"/>
      <c r="F662" s="1112"/>
      <c r="G662" s="1112"/>
      <c r="H662" s="1112"/>
      <c r="I662" s="1113"/>
      <c r="J662" s="1113"/>
      <c r="K662" s="1113"/>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12"/>
      <c r="B663" s="1112"/>
      <c r="C663" s="1114"/>
      <c r="D663" s="1114"/>
      <c r="E663" s="1114"/>
      <c r="F663" s="1112"/>
      <c r="G663" s="1112"/>
      <c r="H663" s="1112"/>
      <c r="I663" s="1113"/>
      <c r="J663" s="1113"/>
      <c r="K663" s="111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12"/>
      <c r="B664" s="1112"/>
      <c r="C664" s="1114"/>
      <c r="D664" s="1114"/>
      <c r="E664" s="1114"/>
      <c r="F664" s="1112"/>
      <c r="G664" s="1112"/>
      <c r="H664" s="1112"/>
      <c r="I664" s="1113"/>
      <c r="J664" s="1113"/>
      <c r="K664" s="111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12"/>
      <c r="B665" s="1112"/>
      <c r="C665" s="1114"/>
      <c r="D665" s="1114"/>
      <c r="E665" s="1114"/>
      <c r="F665" s="1112"/>
      <c r="G665" s="1112"/>
      <c r="H665" s="1112"/>
      <c r="I665" s="1113"/>
      <c r="J665" s="1113"/>
      <c r="K665" s="111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12"/>
      <c r="B666" s="1112"/>
      <c r="C666" s="1114"/>
      <c r="D666" s="1114"/>
      <c r="E666" s="1114"/>
      <c r="F666" s="1112"/>
      <c r="G666" s="1112"/>
      <c r="H666" s="1112"/>
      <c r="I666" s="1113"/>
      <c r="J666" s="1113"/>
      <c r="K666" s="111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12"/>
      <c r="B667" s="1112"/>
      <c r="C667" s="1114"/>
      <c r="D667" s="1114"/>
      <c r="E667" s="1114"/>
      <c r="F667" s="1112"/>
      <c r="G667" s="1112"/>
      <c r="H667" s="1112"/>
      <c r="I667" s="1113"/>
      <c r="J667" s="1113"/>
      <c r="K667" s="111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12"/>
      <c r="B668" s="1112"/>
      <c r="C668" s="1114"/>
      <c r="D668" s="1114"/>
      <c r="E668" s="1114"/>
      <c r="F668" s="1112"/>
      <c r="G668" s="1112"/>
      <c r="H668" s="1112"/>
      <c r="I668" s="1113"/>
      <c r="J668" s="1113"/>
      <c r="K668" s="1113"/>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12"/>
      <c r="B669" s="1112"/>
      <c r="C669" s="1114"/>
      <c r="D669" s="1114"/>
      <c r="E669" s="1114"/>
      <c r="F669" s="1112"/>
      <c r="G669" s="1112"/>
      <c r="H669" s="1112"/>
      <c r="I669" s="1113"/>
      <c r="J669" s="1113"/>
      <c r="K669" s="1113"/>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12"/>
      <c r="B670" s="1112"/>
      <c r="C670" s="1114"/>
      <c r="D670" s="1114"/>
      <c r="E670" s="1114"/>
      <c r="F670" s="1112"/>
      <c r="G670" s="1112"/>
      <c r="H670" s="1112"/>
      <c r="I670" s="1113"/>
      <c r="J670" s="1113"/>
      <c r="K670" s="111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12"/>
      <c r="B671" s="1112"/>
      <c r="C671" s="1114"/>
      <c r="D671" s="1114"/>
      <c r="E671" s="1114"/>
      <c r="F671" s="1112"/>
      <c r="G671" s="1112"/>
      <c r="H671" s="1112"/>
      <c r="I671" s="1113"/>
      <c r="J671" s="1113"/>
      <c r="K671" s="1113"/>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12"/>
      <c r="B672" s="1112"/>
      <c r="C672" s="1114"/>
      <c r="D672" s="1114"/>
      <c r="E672" s="1114"/>
      <c r="F672" s="1112"/>
      <c r="G672" s="1112"/>
      <c r="H672" s="1112"/>
      <c r="I672" s="1113"/>
      <c r="J672" s="1113"/>
      <c r="K672" s="1113"/>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12"/>
      <c r="B673" s="1112"/>
      <c r="C673" s="1114"/>
      <c r="D673" s="1114"/>
      <c r="E673" s="1114"/>
      <c r="F673" s="1112"/>
      <c r="G673" s="1112"/>
      <c r="H673" s="1112"/>
      <c r="I673" s="1113"/>
      <c r="J673" s="1113"/>
      <c r="K673" s="1113"/>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12"/>
      <c r="B674" s="1112"/>
      <c r="C674" s="1114"/>
      <c r="D674" s="1114"/>
      <c r="E674" s="1114"/>
      <c r="F674" s="1112"/>
      <c r="G674" s="1112"/>
      <c r="H674" s="1112"/>
      <c r="I674" s="1113"/>
      <c r="J674" s="1113"/>
      <c r="K674" s="111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12"/>
      <c r="B675" s="1112"/>
      <c r="C675" s="1114"/>
      <c r="D675" s="1114"/>
      <c r="E675" s="1114"/>
      <c r="F675" s="1112"/>
      <c r="G675" s="1112"/>
      <c r="H675" s="1112"/>
      <c r="I675" s="1113"/>
      <c r="J675" s="1113"/>
      <c r="K675" s="111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12"/>
      <c r="B676" s="1112"/>
      <c r="C676" s="1114"/>
      <c r="D676" s="1114"/>
      <c r="E676" s="1114"/>
      <c r="F676" s="1112"/>
      <c r="G676" s="1112"/>
      <c r="H676" s="1112"/>
      <c r="I676" s="1113"/>
      <c r="J676" s="1113"/>
      <c r="K676" s="111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12"/>
      <c r="B677" s="1112"/>
      <c r="C677" s="1114"/>
      <c r="D677" s="1114"/>
      <c r="E677" s="1114"/>
      <c r="F677" s="1112"/>
      <c r="G677" s="1112"/>
      <c r="H677" s="1112"/>
      <c r="I677" s="1113"/>
      <c r="J677" s="1113"/>
      <c r="K677" s="111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12"/>
      <c r="B678" s="1112"/>
      <c r="C678" s="1114"/>
      <c r="D678" s="1114"/>
      <c r="E678" s="1114"/>
      <c r="F678" s="1112"/>
      <c r="G678" s="1112"/>
      <c r="H678" s="1112"/>
      <c r="I678" s="1113"/>
      <c r="J678" s="1113"/>
      <c r="K678" s="111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12"/>
      <c r="B679" s="1112"/>
      <c r="C679" s="1114"/>
      <c r="D679" s="1114"/>
      <c r="E679" s="1114"/>
      <c r="F679" s="1112"/>
      <c r="G679" s="1112"/>
      <c r="H679" s="1112"/>
      <c r="I679" s="1113"/>
      <c r="J679" s="1113"/>
      <c r="K679" s="111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12"/>
      <c r="B680" s="1112"/>
      <c r="C680" s="1114"/>
      <c r="D680" s="1114"/>
      <c r="E680" s="1114"/>
      <c r="F680" s="1112"/>
      <c r="G680" s="1112"/>
      <c r="H680" s="1112"/>
      <c r="I680" s="1113"/>
      <c r="J680" s="1113"/>
      <c r="K680" s="111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12"/>
      <c r="B681" s="1112"/>
      <c r="C681" s="1114"/>
      <c r="D681" s="1114"/>
      <c r="E681" s="1114"/>
      <c r="F681" s="1112"/>
      <c r="G681" s="1112"/>
      <c r="H681" s="1112"/>
      <c r="I681" s="1113"/>
      <c r="J681" s="1113"/>
      <c r="K681" s="111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12"/>
      <c r="B682" s="1112"/>
      <c r="C682" s="1114"/>
      <c r="D682" s="1114"/>
      <c r="E682" s="1114"/>
      <c r="F682" s="1112"/>
      <c r="G682" s="1112"/>
      <c r="H682" s="1112"/>
      <c r="I682" s="1113"/>
      <c r="J682" s="1113"/>
      <c r="K682" s="111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12"/>
      <c r="B683" s="1112"/>
      <c r="C683" s="1114"/>
      <c r="D683" s="1114"/>
      <c r="E683" s="1114"/>
      <c r="F683" s="1112"/>
      <c r="G683" s="1112"/>
      <c r="H683" s="1112"/>
      <c r="I683" s="1113"/>
      <c r="J683" s="1113"/>
      <c r="K683" s="111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12"/>
      <c r="B684" s="1112"/>
      <c r="C684" s="1114"/>
      <c r="D684" s="1114"/>
      <c r="E684" s="1114"/>
      <c r="F684" s="1112"/>
      <c r="G684" s="1112"/>
      <c r="H684" s="1112"/>
      <c r="I684" s="1113"/>
      <c r="J684" s="1113"/>
      <c r="K684" s="111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12"/>
      <c r="B685" s="1112"/>
      <c r="C685" s="1114"/>
      <c r="D685" s="1114"/>
      <c r="E685" s="1114"/>
      <c r="F685" s="1112"/>
      <c r="G685" s="1112"/>
      <c r="H685" s="1112"/>
      <c r="I685" s="1113"/>
      <c r="J685" s="1113"/>
      <c r="K685" s="111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12"/>
      <c r="B686" s="1112"/>
      <c r="C686" s="1114"/>
      <c r="D686" s="1114"/>
      <c r="E686" s="1114"/>
      <c r="F686" s="1112"/>
      <c r="G686" s="1112"/>
      <c r="H686" s="1112"/>
      <c r="I686" s="1113"/>
      <c r="J686" s="1113"/>
      <c r="K686" s="111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12"/>
      <c r="B687" s="1112"/>
      <c r="C687" s="1114"/>
      <c r="D687" s="1114"/>
      <c r="E687" s="1114"/>
      <c r="F687" s="1112"/>
      <c r="G687" s="1112"/>
      <c r="H687" s="1112"/>
      <c r="I687" s="1113"/>
      <c r="J687" s="1113"/>
      <c r="K687" s="1113"/>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12"/>
      <c r="B688" s="1112"/>
      <c r="C688" s="1114"/>
      <c r="D688" s="1114"/>
      <c r="E688" s="1114"/>
      <c r="F688" s="1112"/>
      <c r="G688" s="1112"/>
      <c r="H688" s="1112"/>
      <c r="I688" s="1113"/>
      <c r="J688" s="1113"/>
      <c r="K688" s="111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12"/>
      <c r="B689" s="1112"/>
      <c r="C689" s="1114"/>
      <c r="D689" s="1114"/>
      <c r="E689" s="1114"/>
      <c r="F689" s="1112"/>
      <c r="G689" s="1112"/>
      <c r="H689" s="1112"/>
      <c r="I689" s="1113"/>
      <c r="J689" s="1113"/>
      <c r="K689" s="111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12"/>
      <c r="B690" s="1112"/>
      <c r="C690" s="1114"/>
      <c r="D690" s="1114"/>
      <c r="E690" s="1114"/>
      <c r="F690" s="1112"/>
      <c r="G690" s="1112"/>
      <c r="H690" s="1112"/>
      <c r="I690" s="1113"/>
      <c r="J690" s="1113"/>
      <c r="K690" s="111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12"/>
      <c r="B691" s="1112"/>
      <c r="C691" s="1114"/>
      <c r="D691" s="1114"/>
      <c r="E691" s="1114"/>
      <c r="F691" s="1112"/>
      <c r="G691" s="1112"/>
      <c r="H691" s="1112"/>
      <c r="I691" s="1113"/>
      <c r="J691" s="1113"/>
      <c r="K691" s="111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12"/>
      <c r="B692" s="1112"/>
      <c r="C692" s="1114"/>
      <c r="D692" s="1114"/>
      <c r="E692" s="1114"/>
      <c r="F692" s="1112"/>
      <c r="G692" s="1112"/>
      <c r="H692" s="1112"/>
      <c r="I692" s="1113"/>
      <c r="J692" s="1113"/>
      <c r="K692" s="111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12"/>
      <c r="B693" s="1112"/>
      <c r="C693" s="1114"/>
      <c r="D693" s="1114"/>
      <c r="E693" s="1114"/>
      <c r="F693" s="1112"/>
      <c r="G693" s="1112"/>
      <c r="H693" s="1112"/>
      <c r="I693" s="1113"/>
      <c r="J693" s="1113"/>
      <c r="K693" s="111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12"/>
      <c r="B694" s="1112"/>
      <c r="C694" s="1114"/>
      <c r="D694" s="1114"/>
      <c r="E694" s="1114"/>
      <c r="F694" s="1112"/>
      <c r="G694" s="1112"/>
      <c r="H694" s="1112"/>
      <c r="I694" s="1113"/>
      <c r="J694" s="1113"/>
      <c r="K694" s="111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12"/>
      <c r="B695" s="1112"/>
      <c r="C695" s="1114"/>
      <c r="D695" s="1114"/>
      <c r="E695" s="1114"/>
      <c r="F695" s="1112"/>
      <c r="G695" s="1112"/>
      <c r="H695" s="1112"/>
      <c r="I695" s="1113"/>
      <c r="J695" s="1113"/>
      <c r="K695" s="111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12"/>
      <c r="B696" s="1112"/>
      <c r="C696" s="1114"/>
      <c r="D696" s="1114"/>
      <c r="E696" s="1114"/>
      <c r="F696" s="1112"/>
      <c r="G696" s="1112"/>
      <c r="H696" s="1112"/>
      <c r="I696" s="1113"/>
      <c r="J696" s="1113"/>
      <c r="K696" s="111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13"/>
      <c r="B697" s="1118"/>
      <c r="C697" s="1119"/>
      <c r="D697" s="1113"/>
      <c r="E697" s="1113"/>
      <c r="F697" s="1113"/>
      <c r="G697" s="1113"/>
      <c r="H697" s="1113"/>
      <c r="I697" s="1113"/>
      <c r="J697" s="1113"/>
      <c r="K697" s="111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13"/>
      <c r="B698" s="1118"/>
      <c r="C698" s="1119"/>
      <c r="D698" s="1113"/>
      <c r="E698" s="1113"/>
      <c r="F698" s="1113"/>
      <c r="G698" s="1113"/>
      <c r="H698" s="1113"/>
      <c r="I698" s="1113"/>
      <c r="J698" s="1113"/>
      <c r="K698" s="111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13"/>
      <c r="B699" s="1118"/>
      <c r="C699" s="1119"/>
      <c r="D699" s="1113"/>
      <c r="E699" s="1113"/>
      <c r="F699" s="1113"/>
      <c r="G699" s="1113"/>
      <c r="H699" s="1113"/>
      <c r="I699" s="1113"/>
      <c r="J699" s="1113"/>
      <c r="K699" s="111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13"/>
      <c r="B700" s="1118"/>
      <c r="C700" s="1119"/>
      <c r="D700" s="1113"/>
      <c r="E700" s="1113"/>
      <c r="F700" s="1113"/>
      <c r="G700" s="1113"/>
      <c r="H700" s="1113"/>
      <c r="I700" s="1113"/>
      <c r="J700" s="1113"/>
      <c r="K700" s="111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13"/>
      <c r="B701" s="1118"/>
      <c r="C701" s="1119"/>
      <c r="D701" s="1113"/>
      <c r="E701" s="1113"/>
      <c r="F701" s="1113"/>
      <c r="G701" s="1113"/>
      <c r="H701" s="1113"/>
      <c r="I701" s="1113"/>
      <c r="J701" s="1113"/>
      <c r="K701" s="111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13"/>
      <c r="B702" s="1118"/>
      <c r="C702" s="1119"/>
      <c r="D702" s="1113"/>
      <c r="E702" s="1113"/>
      <c r="F702" s="1113"/>
      <c r="G702" s="1113"/>
      <c r="H702" s="1113"/>
      <c r="I702" s="1113"/>
      <c r="J702" s="1113"/>
      <c r="K702" s="111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13"/>
      <c r="B703" s="1118"/>
      <c r="C703" s="1119"/>
      <c r="D703" s="1113"/>
      <c r="E703" s="1113"/>
      <c r="F703" s="1113"/>
      <c r="G703" s="1113"/>
      <c r="H703" s="1113"/>
      <c r="I703" s="1113"/>
      <c r="J703" s="1113"/>
      <c r="K703" s="111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13"/>
      <c r="B704" s="1118"/>
      <c r="C704" s="1119"/>
      <c r="D704" s="1113"/>
      <c r="E704" s="1113"/>
      <c r="F704" s="1113"/>
      <c r="G704" s="1113"/>
      <c r="H704" s="1113"/>
      <c r="I704" s="1113"/>
      <c r="J704" s="1113"/>
      <c r="K704" s="111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13"/>
      <c r="B705" s="1118"/>
      <c r="C705" s="1119"/>
      <c r="D705" s="1113"/>
      <c r="E705" s="1113"/>
      <c r="F705" s="1113"/>
      <c r="G705" s="1113"/>
      <c r="H705" s="1113"/>
      <c r="I705" s="1113"/>
      <c r="J705" s="1113"/>
      <c r="K705" s="111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13"/>
      <c r="B706" s="1118"/>
      <c r="C706" s="1119"/>
      <c r="D706" s="1113"/>
      <c r="E706" s="1113"/>
      <c r="F706" s="1113"/>
      <c r="G706" s="1113"/>
      <c r="H706" s="1113"/>
      <c r="I706" s="1113"/>
      <c r="J706" s="1113"/>
      <c r="K706" s="111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13"/>
      <c r="B707" s="1118"/>
      <c r="C707" s="1119"/>
      <c r="D707" s="1113"/>
      <c r="E707" s="1113"/>
      <c r="F707" s="1113"/>
      <c r="G707" s="1113"/>
      <c r="H707" s="1113"/>
      <c r="I707" s="1113"/>
      <c r="J707" s="1113"/>
      <c r="K707" s="111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13"/>
      <c r="B708" s="1118"/>
      <c r="C708" s="1119"/>
      <c r="D708" s="1113"/>
      <c r="E708" s="1113"/>
      <c r="F708" s="1113"/>
      <c r="G708" s="1113"/>
      <c r="H708" s="1113"/>
      <c r="I708" s="1113"/>
      <c r="J708" s="1113"/>
      <c r="K708" s="111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13"/>
      <c r="B709" s="1118"/>
      <c r="C709" s="1119"/>
      <c r="D709" s="1113"/>
      <c r="E709" s="1113"/>
      <c r="F709" s="1113"/>
      <c r="G709" s="1113"/>
      <c r="H709" s="1113"/>
      <c r="I709" s="1113"/>
      <c r="J709" s="1113"/>
      <c r="K709" s="111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13"/>
      <c r="B710" s="1118"/>
      <c r="C710" s="1119"/>
      <c r="D710" s="1113"/>
      <c r="E710" s="1113"/>
      <c r="F710" s="1113"/>
      <c r="G710" s="1113"/>
      <c r="H710" s="1113"/>
      <c r="I710" s="1113"/>
      <c r="J710" s="1113"/>
      <c r="K710" s="111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13"/>
      <c r="B711" s="1118"/>
      <c r="C711" s="1119"/>
      <c r="D711" s="1113"/>
      <c r="E711" s="1113"/>
      <c r="F711" s="1113"/>
      <c r="G711" s="1113"/>
      <c r="H711" s="1113"/>
      <c r="I711" s="1113"/>
      <c r="J711" s="1113"/>
      <c r="K711" s="111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13"/>
      <c r="B712" s="1118"/>
      <c r="C712" s="1119"/>
      <c r="D712" s="1113"/>
      <c r="E712" s="1113"/>
      <c r="F712" s="1113"/>
      <c r="G712" s="1113"/>
      <c r="H712" s="1113"/>
      <c r="I712" s="1113"/>
      <c r="J712" s="1113"/>
      <c r="K712" s="111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13"/>
      <c r="B713" s="1118"/>
      <c r="C713" s="1119"/>
      <c r="D713" s="1113"/>
      <c r="E713" s="1113"/>
      <c r="F713" s="1113"/>
      <c r="G713" s="1113"/>
      <c r="H713" s="1113"/>
      <c r="I713" s="1113"/>
      <c r="J713" s="1113"/>
      <c r="K713" s="111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13"/>
      <c r="B714" s="1118"/>
      <c r="C714" s="1119"/>
      <c r="D714" s="1113"/>
      <c r="E714" s="1113"/>
      <c r="F714" s="1113"/>
      <c r="G714" s="1113"/>
      <c r="H714" s="1113"/>
      <c r="I714" s="1113"/>
      <c r="J714" s="1113"/>
      <c r="K714" s="111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13"/>
      <c r="B715" s="1118"/>
      <c r="C715" s="1119"/>
      <c r="D715" s="1113"/>
      <c r="E715" s="1113"/>
      <c r="F715" s="1113"/>
      <c r="G715" s="1113"/>
      <c r="H715" s="1113"/>
      <c r="I715" s="1113"/>
      <c r="J715" s="1113"/>
      <c r="K715" s="111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13"/>
      <c r="B716" s="1118"/>
      <c r="C716" s="1119"/>
      <c r="D716" s="1113"/>
      <c r="E716" s="1113"/>
      <c r="F716" s="1113"/>
      <c r="G716" s="1113"/>
      <c r="H716" s="1113"/>
      <c r="I716" s="1113"/>
      <c r="J716" s="1113"/>
      <c r="K716" s="111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13"/>
      <c r="B717" s="1118"/>
      <c r="C717" s="1119"/>
      <c r="D717" s="1113"/>
      <c r="E717" s="1113"/>
      <c r="F717" s="1113"/>
      <c r="G717" s="1113"/>
      <c r="H717" s="1113"/>
      <c r="I717" s="1113"/>
      <c r="J717" s="1113"/>
      <c r="K717" s="111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13"/>
      <c r="B718" s="1118"/>
      <c r="C718" s="1119"/>
      <c r="D718" s="1113"/>
      <c r="E718" s="1113"/>
      <c r="F718" s="1113"/>
      <c r="G718" s="1113"/>
      <c r="H718" s="1113"/>
      <c r="I718" s="1113"/>
      <c r="J718" s="1113"/>
      <c r="K718" s="111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13"/>
      <c r="B719" s="1118"/>
      <c r="C719" s="1119"/>
      <c r="D719" s="1113"/>
      <c r="E719" s="1113"/>
      <c r="F719" s="1113"/>
      <c r="G719" s="1113"/>
      <c r="H719" s="1113"/>
      <c r="I719" s="1113"/>
      <c r="J719" s="1113"/>
      <c r="K719" s="111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13"/>
      <c r="B720" s="1118"/>
      <c r="C720" s="1119"/>
      <c r="D720" s="1113"/>
      <c r="E720" s="1113"/>
      <c r="F720" s="1113"/>
      <c r="G720" s="1113"/>
      <c r="H720" s="1113"/>
      <c r="I720" s="1113"/>
      <c r="J720" s="1113"/>
      <c r="K720" s="111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13"/>
      <c r="B721" s="1118"/>
      <c r="C721" s="1119"/>
      <c r="D721" s="1113"/>
      <c r="E721" s="1113"/>
      <c r="F721" s="1113"/>
      <c r="G721" s="1113"/>
      <c r="H721" s="1113"/>
      <c r="I721" s="1113"/>
      <c r="J721" s="1113"/>
      <c r="K721" s="111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13"/>
      <c r="B722" s="1118"/>
      <c r="C722" s="1119"/>
      <c r="D722" s="1113"/>
      <c r="E722" s="1113"/>
      <c r="F722" s="1113"/>
      <c r="G722" s="1113"/>
      <c r="H722" s="1113"/>
      <c r="I722" s="1113"/>
      <c r="J722" s="1113"/>
      <c r="K722" s="111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13"/>
      <c r="B723" s="1118"/>
      <c r="C723" s="1119"/>
      <c r="D723" s="1113"/>
      <c r="E723" s="1113"/>
      <c r="F723" s="1113"/>
      <c r="G723" s="1113"/>
      <c r="H723" s="1113"/>
      <c r="I723" s="1113"/>
      <c r="J723" s="1113"/>
      <c r="K723" s="111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13"/>
      <c r="B724" s="1118"/>
      <c r="C724" s="1119"/>
      <c r="D724" s="1113"/>
      <c r="E724" s="1113"/>
      <c r="F724" s="1113"/>
      <c r="G724" s="1113"/>
      <c r="H724" s="1113"/>
      <c r="I724" s="1113"/>
      <c r="J724" s="1113"/>
      <c r="K724" s="111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13"/>
      <c r="B725" s="1118"/>
      <c r="C725" s="1119"/>
      <c r="D725" s="1113"/>
      <c r="E725" s="1113"/>
      <c r="F725" s="1113"/>
      <c r="G725" s="1113"/>
      <c r="H725" s="1113"/>
      <c r="I725" s="1113"/>
      <c r="J725" s="1113"/>
      <c r="K725" s="111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13"/>
      <c r="B726" s="1118"/>
      <c r="C726" s="1119"/>
      <c r="D726" s="1113"/>
      <c r="E726" s="1113"/>
      <c r="F726" s="1113"/>
      <c r="G726" s="1113"/>
      <c r="H726" s="1113"/>
      <c r="I726" s="1113"/>
      <c r="J726" s="1113"/>
      <c r="K726" s="111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13"/>
      <c r="B727" s="1118"/>
      <c r="C727" s="1119"/>
      <c r="D727" s="1113"/>
      <c r="E727" s="1113"/>
      <c r="F727" s="1113"/>
      <c r="G727" s="1113"/>
      <c r="H727" s="1113"/>
      <c r="I727" s="1113"/>
      <c r="J727" s="1113"/>
      <c r="K727" s="111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13"/>
      <c r="B728" s="1118"/>
      <c r="C728" s="1119"/>
      <c r="D728" s="1113"/>
      <c r="E728" s="1113"/>
      <c r="F728" s="1113"/>
      <c r="G728" s="1113"/>
      <c r="H728" s="1113"/>
      <c r="I728" s="1113"/>
      <c r="J728" s="1113"/>
      <c r="K728" s="111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13"/>
      <c r="B729" s="1118"/>
      <c r="C729" s="1119"/>
      <c r="D729" s="1113"/>
      <c r="E729" s="1113"/>
      <c r="F729" s="1113"/>
      <c r="G729" s="1113"/>
      <c r="H729" s="1113"/>
      <c r="I729" s="1113"/>
      <c r="J729" s="1113"/>
      <c r="K729" s="111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13"/>
      <c r="B730" s="1118"/>
      <c r="C730" s="1119"/>
      <c r="D730" s="1113"/>
      <c r="E730" s="1113"/>
      <c r="F730" s="1113"/>
      <c r="G730" s="1113"/>
      <c r="H730" s="1113"/>
      <c r="I730" s="1113"/>
      <c r="J730" s="1113"/>
      <c r="K730" s="111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13"/>
      <c r="B731" s="1118"/>
      <c r="C731" s="1119"/>
      <c r="D731" s="1113"/>
      <c r="E731" s="1113"/>
      <c r="F731" s="1113"/>
      <c r="G731" s="1113"/>
      <c r="H731" s="1113"/>
      <c r="I731" s="1113"/>
      <c r="J731" s="1113"/>
      <c r="K731" s="111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13"/>
      <c r="B732" s="1118"/>
      <c r="C732" s="1119"/>
      <c r="D732" s="1113"/>
      <c r="E732" s="1113"/>
      <c r="F732" s="1113"/>
      <c r="G732" s="1113"/>
      <c r="H732" s="1113"/>
      <c r="I732" s="1113"/>
      <c r="J732" s="1113"/>
      <c r="K732" s="111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13"/>
      <c r="B733" s="1118"/>
      <c r="C733" s="1119"/>
      <c r="D733" s="1113"/>
      <c r="E733" s="1113"/>
      <c r="F733" s="1113"/>
      <c r="G733" s="1113"/>
      <c r="H733" s="1113"/>
      <c r="I733" s="1113"/>
      <c r="J733" s="1113"/>
      <c r="K733" s="111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13"/>
      <c r="B734" s="1118"/>
      <c r="C734" s="1119"/>
      <c r="D734" s="1113"/>
      <c r="E734" s="1113"/>
      <c r="F734" s="1113"/>
      <c r="G734" s="1113"/>
      <c r="H734" s="1113"/>
      <c r="I734" s="1113"/>
      <c r="J734" s="1113"/>
      <c r="K734" s="111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13"/>
      <c r="B735" s="1118"/>
      <c r="C735" s="1119"/>
      <c r="D735" s="1113"/>
      <c r="E735" s="1113"/>
      <c r="F735" s="1113"/>
      <c r="G735" s="1113"/>
      <c r="H735" s="1113"/>
      <c r="I735" s="1113"/>
      <c r="J735" s="1113"/>
      <c r="K735" s="111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13"/>
      <c r="B736" s="1118"/>
      <c r="C736" s="1119"/>
      <c r="D736" s="1113"/>
      <c r="E736" s="1113"/>
      <c r="F736" s="1113"/>
      <c r="G736" s="1113"/>
      <c r="H736" s="1113"/>
      <c r="I736" s="1113"/>
      <c r="J736" s="1113"/>
      <c r="K736" s="111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13"/>
      <c r="B737" s="1118"/>
      <c r="C737" s="1119"/>
      <c r="D737" s="1113"/>
      <c r="E737" s="1113"/>
      <c r="F737" s="1113"/>
      <c r="G737" s="1113"/>
      <c r="H737" s="1113"/>
      <c r="I737" s="1113"/>
      <c r="J737" s="1113"/>
      <c r="K737" s="111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13"/>
      <c r="B738" s="1118"/>
      <c r="C738" s="1119"/>
      <c r="D738" s="1113"/>
      <c r="E738" s="1113"/>
      <c r="F738" s="1113"/>
      <c r="G738" s="1113"/>
      <c r="H738" s="1113"/>
      <c r="I738" s="1113"/>
      <c r="J738" s="1113"/>
      <c r="K738" s="111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13"/>
      <c r="B739" s="1118"/>
      <c r="C739" s="1119"/>
      <c r="D739" s="1113"/>
      <c r="E739" s="1113"/>
      <c r="F739" s="1113"/>
      <c r="G739" s="1113"/>
      <c r="H739" s="1113"/>
      <c r="I739" s="1113"/>
      <c r="J739" s="1113"/>
      <c r="K739" s="111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13"/>
      <c r="B740" s="1118"/>
      <c r="C740" s="1119"/>
      <c r="D740" s="1113"/>
      <c r="E740" s="1113"/>
      <c r="F740" s="1113"/>
      <c r="G740" s="1113"/>
      <c r="H740" s="1113"/>
      <c r="I740" s="1113"/>
      <c r="J740" s="1113"/>
      <c r="K740" s="111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13"/>
      <c r="B741" s="1118"/>
      <c r="C741" s="1119"/>
      <c r="D741" s="1113"/>
      <c r="E741" s="1113"/>
      <c r="F741" s="1113"/>
      <c r="G741" s="1113"/>
      <c r="H741" s="1113"/>
      <c r="I741" s="1113"/>
      <c r="J741" s="1113"/>
      <c r="K741" s="111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13"/>
      <c r="B742" s="1118"/>
      <c r="C742" s="1119"/>
      <c r="D742" s="1113"/>
      <c r="E742" s="1113"/>
      <c r="F742" s="1113"/>
      <c r="G742" s="1113"/>
      <c r="H742" s="1113"/>
      <c r="I742" s="1113"/>
      <c r="J742" s="1113"/>
      <c r="K742" s="111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13"/>
      <c r="B743" s="1118"/>
      <c r="C743" s="1119"/>
      <c r="D743" s="1113"/>
      <c r="E743" s="1113"/>
      <c r="F743" s="1113"/>
      <c r="G743" s="1113"/>
      <c r="H743" s="1113"/>
      <c r="I743" s="1113"/>
      <c r="J743" s="1113"/>
      <c r="K743" s="111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13"/>
      <c r="B744" s="1118"/>
      <c r="C744" s="1119"/>
      <c r="D744" s="1113"/>
      <c r="E744" s="1113"/>
      <c r="F744" s="1113"/>
      <c r="G744" s="1113"/>
      <c r="H744" s="1113"/>
      <c r="I744" s="1113"/>
      <c r="J744" s="1113"/>
      <c r="K744" s="111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13"/>
      <c r="B745" s="1118"/>
      <c r="C745" s="1119"/>
      <c r="D745" s="1113"/>
      <c r="E745" s="1113"/>
      <c r="F745" s="1113"/>
      <c r="G745" s="1113"/>
      <c r="H745" s="1113"/>
      <c r="I745" s="1113"/>
      <c r="J745" s="1113"/>
      <c r="K745" s="111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13"/>
      <c r="B746" s="1118"/>
      <c r="C746" s="1119"/>
      <c r="D746" s="1113"/>
      <c r="E746" s="1113"/>
      <c r="F746" s="1113"/>
      <c r="G746" s="1113"/>
      <c r="H746" s="1113"/>
      <c r="I746" s="1113"/>
      <c r="J746" s="1113"/>
      <c r="K746" s="111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13"/>
      <c r="B747" s="1118"/>
      <c r="C747" s="1119"/>
      <c r="D747" s="1113"/>
      <c r="E747" s="1113"/>
      <c r="F747" s="1113"/>
      <c r="G747" s="1113"/>
      <c r="H747" s="1113"/>
      <c r="I747" s="1113"/>
      <c r="J747" s="1113"/>
      <c r="K747" s="111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13"/>
      <c r="B748" s="1118"/>
      <c r="C748" s="1119"/>
      <c r="D748" s="1113"/>
      <c r="E748" s="1113"/>
      <c r="F748" s="1113"/>
      <c r="G748" s="1113"/>
      <c r="H748" s="1113"/>
      <c r="I748" s="1113"/>
      <c r="J748" s="1113"/>
      <c r="K748" s="111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13"/>
      <c r="B749" s="1118"/>
      <c r="C749" s="1119"/>
      <c r="D749" s="1113"/>
      <c r="E749" s="1113"/>
      <c r="F749" s="1113"/>
      <c r="G749" s="1113"/>
      <c r="H749" s="1113"/>
      <c r="I749" s="1113"/>
      <c r="J749" s="1113"/>
      <c r="K749" s="111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13"/>
      <c r="B750" s="1118"/>
      <c r="C750" s="1119"/>
      <c r="D750" s="1113"/>
      <c r="E750" s="1113"/>
      <c r="F750" s="1113"/>
      <c r="G750" s="1113"/>
      <c r="H750" s="1113"/>
      <c r="I750" s="1113"/>
      <c r="J750" s="1113"/>
      <c r="K750" s="111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13"/>
      <c r="B751" s="1118"/>
      <c r="C751" s="1119"/>
      <c r="D751" s="1113"/>
      <c r="E751" s="1113"/>
      <c r="F751" s="1113"/>
      <c r="G751" s="1113"/>
      <c r="H751" s="1113"/>
      <c r="I751" s="1113"/>
      <c r="J751" s="1113"/>
      <c r="K751" s="111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13"/>
      <c r="B752" s="1118"/>
      <c r="C752" s="1119"/>
      <c r="D752" s="1113"/>
      <c r="E752" s="1113"/>
      <c r="F752" s="1113"/>
      <c r="G752" s="1113"/>
      <c r="H752" s="1113"/>
      <c r="I752" s="1113"/>
      <c r="J752" s="1113"/>
      <c r="K752" s="111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13"/>
      <c r="B753" s="1118"/>
      <c r="C753" s="1119"/>
      <c r="D753" s="1113"/>
      <c r="E753" s="1113"/>
      <c r="F753" s="1113"/>
      <c r="G753" s="1113"/>
      <c r="H753" s="1113"/>
      <c r="I753" s="1113"/>
      <c r="J753" s="1113"/>
      <c r="K753" s="111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13"/>
      <c r="B754" s="1118"/>
      <c r="C754" s="1119"/>
      <c r="D754" s="1113"/>
      <c r="E754" s="1113"/>
      <c r="F754" s="1113"/>
      <c r="G754" s="1113"/>
      <c r="H754" s="1113"/>
      <c r="I754" s="1113"/>
      <c r="J754" s="1113"/>
      <c r="K754" s="111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13"/>
      <c r="B755" s="1118"/>
      <c r="C755" s="1119"/>
      <c r="D755" s="1113"/>
      <c r="E755" s="1113"/>
      <c r="F755" s="1113"/>
      <c r="G755" s="1113"/>
      <c r="H755" s="1113"/>
      <c r="I755" s="1113"/>
      <c r="J755" s="1113"/>
      <c r="K755" s="111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13"/>
      <c r="B756" s="1118"/>
      <c r="C756" s="1119"/>
      <c r="D756" s="1113"/>
      <c r="E756" s="1113"/>
      <c r="F756" s="1113"/>
      <c r="G756" s="1113"/>
      <c r="H756" s="1113"/>
      <c r="I756" s="1113"/>
      <c r="J756" s="1113"/>
      <c r="K756" s="111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13"/>
      <c r="B757" s="1118"/>
      <c r="C757" s="1119"/>
      <c r="D757" s="1113"/>
      <c r="E757" s="1113"/>
      <c r="F757" s="1113"/>
      <c r="G757" s="1113"/>
      <c r="H757" s="1113"/>
      <c r="I757" s="1113"/>
      <c r="J757" s="1113"/>
      <c r="K757" s="111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13"/>
      <c r="B758" s="1118"/>
      <c r="C758" s="1119"/>
      <c r="D758" s="1113"/>
      <c r="E758" s="1113"/>
      <c r="F758" s="1113"/>
      <c r="G758" s="1113"/>
      <c r="H758" s="1113"/>
      <c r="I758" s="1113"/>
      <c r="J758" s="1113"/>
      <c r="K758" s="111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13"/>
      <c r="B759" s="1118"/>
      <c r="C759" s="1119"/>
      <c r="D759" s="1113"/>
      <c r="E759" s="1113"/>
      <c r="F759" s="1113"/>
      <c r="G759" s="1113"/>
      <c r="H759" s="1113"/>
      <c r="I759" s="1113"/>
      <c r="J759" s="1113"/>
      <c r="K759" s="111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13"/>
      <c r="B760" s="1118"/>
      <c r="C760" s="1119"/>
      <c r="D760" s="1113"/>
      <c r="E760" s="1113"/>
      <c r="F760" s="1113"/>
      <c r="G760" s="1113"/>
      <c r="H760" s="1113"/>
      <c r="I760" s="1113"/>
      <c r="J760" s="1113"/>
      <c r="K760" s="111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13"/>
      <c r="B761" s="1118"/>
      <c r="C761" s="1119"/>
      <c r="D761" s="1113"/>
      <c r="E761" s="1113"/>
      <c r="F761" s="1113"/>
      <c r="G761" s="1113"/>
      <c r="H761" s="1113"/>
      <c r="I761" s="1113"/>
      <c r="J761" s="1113"/>
      <c r="K761" s="111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13"/>
      <c r="B762" s="1118"/>
      <c r="C762" s="1119"/>
      <c r="D762" s="1113"/>
      <c r="E762" s="1113"/>
      <c r="F762" s="1113"/>
      <c r="G762" s="1113"/>
      <c r="H762" s="1113"/>
      <c r="I762" s="1113"/>
      <c r="J762" s="1113"/>
      <c r="K762" s="111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13"/>
      <c r="B763" s="1118"/>
      <c r="C763" s="1119"/>
      <c r="D763" s="1113"/>
      <c r="E763" s="1113"/>
      <c r="F763" s="1113"/>
      <c r="G763" s="1113"/>
      <c r="H763" s="1113"/>
      <c r="I763" s="1113"/>
      <c r="J763" s="1113"/>
      <c r="K763" s="111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13"/>
      <c r="B764" s="1118"/>
      <c r="C764" s="1119"/>
      <c r="D764" s="1113"/>
      <c r="E764" s="1113"/>
      <c r="F764" s="1113"/>
      <c r="G764" s="1113"/>
      <c r="H764" s="1113"/>
      <c r="I764" s="1113"/>
      <c r="J764" s="1113"/>
      <c r="K764" s="111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13"/>
      <c r="B765" s="1118"/>
      <c r="C765" s="1119"/>
      <c r="D765" s="1113"/>
      <c r="E765" s="1113"/>
      <c r="F765" s="1113"/>
      <c r="G765" s="1113"/>
      <c r="H765" s="1113"/>
      <c r="I765" s="1113"/>
      <c r="J765" s="1113"/>
      <c r="K765" s="111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13"/>
      <c r="B766" s="1118"/>
      <c r="C766" s="1119"/>
      <c r="D766" s="1113"/>
      <c r="E766" s="1113"/>
      <c r="F766" s="1113"/>
      <c r="G766" s="1113"/>
      <c r="H766" s="1113"/>
      <c r="I766" s="1113"/>
      <c r="J766" s="1113"/>
      <c r="K766" s="111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13"/>
      <c r="B767" s="1118"/>
      <c r="C767" s="1119"/>
      <c r="D767" s="1113"/>
      <c r="E767" s="1113"/>
      <c r="F767" s="1113"/>
      <c r="G767" s="1113"/>
      <c r="H767" s="1113"/>
      <c r="I767" s="1113"/>
      <c r="J767" s="1113"/>
      <c r="K767" s="111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13"/>
      <c r="B768" s="1118"/>
      <c r="C768" s="1119"/>
      <c r="D768" s="1113"/>
      <c r="E768" s="1113"/>
      <c r="F768" s="1113"/>
      <c r="G768" s="1113"/>
      <c r="H768" s="1113"/>
      <c r="I768" s="1113"/>
      <c r="J768" s="1113"/>
      <c r="K768" s="111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13"/>
      <c r="B769" s="1118"/>
      <c r="C769" s="1119"/>
      <c r="D769" s="1113"/>
      <c r="E769" s="1113"/>
      <c r="F769" s="1113"/>
      <c r="G769" s="1113"/>
      <c r="H769" s="1113"/>
      <c r="I769" s="1113"/>
      <c r="J769" s="1113"/>
      <c r="K769" s="111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13"/>
      <c r="B770" s="1118"/>
      <c r="C770" s="1119"/>
      <c r="D770" s="1113"/>
      <c r="E770" s="1113"/>
      <c r="F770" s="1113"/>
      <c r="G770" s="1113"/>
      <c r="H770" s="1113"/>
      <c r="I770" s="1113"/>
      <c r="J770" s="1113"/>
      <c r="K770" s="111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13"/>
      <c r="B771" s="1118"/>
      <c r="C771" s="1119"/>
      <c r="D771" s="1113"/>
      <c r="E771" s="1113"/>
      <c r="F771" s="1113"/>
      <c r="G771" s="1113"/>
      <c r="H771" s="1113"/>
      <c r="I771" s="1113"/>
      <c r="J771" s="1113"/>
      <c r="K771" s="111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13"/>
      <c r="B772" s="1118"/>
      <c r="C772" s="1119"/>
      <c r="D772" s="1113"/>
      <c r="E772" s="1113"/>
      <c r="F772" s="1113"/>
      <c r="G772" s="1113"/>
      <c r="H772" s="1113"/>
      <c r="I772" s="1113"/>
      <c r="J772" s="1113"/>
      <c r="K772" s="111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13"/>
      <c r="B773" s="1118"/>
      <c r="C773" s="1119"/>
      <c r="D773" s="1113"/>
      <c r="E773" s="1113"/>
      <c r="F773" s="1113"/>
      <c r="G773" s="1113"/>
      <c r="H773" s="1113"/>
      <c r="I773" s="1113"/>
      <c r="J773" s="1113"/>
      <c r="K773" s="111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13"/>
      <c r="B774" s="1118"/>
      <c r="C774" s="1119"/>
      <c r="D774" s="1113"/>
      <c r="E774" s="1113"/>
      <c r="F774" s="1113"/>
      <c r="G774" s="1113"/>
      <c r="H774" s="1113"/>
      <c r="I774" s="1113"/>
      <c r="J774" s="1113"/>
      <c r="K774" s="111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13"/>
      <c r="B775" s="1118"/>
      <c r="C775" s="1119"/>
      <c r="D775" s="1113"/>
      <c r="E775" s="1113"/>
      <c r="F775" s="1113"/>
      <c r="G775" s="1113"/>
      <c r="H775" s="1113"/>
      <c r="I775" s="1113"/>
      <c r="J775" s="1113"/>
      <c r="K775" s="111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13"/>
      <c r="B776" s="1118"/>
      <c r="C776" s="1119"/>
      <c r="D776" s="1113"/>
      <c r="E776" s="1113"/>
      <c r="F776" s="1113"/>
      <c r="G776" s="1113"/>
      <c r="H776" s="1113"/>
      <c r="I776" s="1113"/>
      <c r="J776" s="1113"/>
      <c r="K776" s="111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13"/>
      <c r="B777" s="1118"/>
      <c r="C777" s="1119"/>
      <c r="D777" s="1113"/>
      <c r="E777" s="1113"/>
      <c r="F777" s="1113"/>
      <c r="G777" s="1113"/>
      <c r="H777" s="1113"/>
      <c r="I777" s="1113"/>
      <c r="J777" s="1113"/>
      <c r="K777" s="111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13"/>
      <c r="B778" s="1118"/>
      <c r="C778" s="1119"/>
      <c r="D778" s="1113"/>
      <c r="E778" s="1113"/>
      <c r="F778" s="1113"/>
      <c r="G778" s="1113"/>
      <c r="H778" s="1113"/>
      <c r="I778" s="1113"/>
      <c r="J778" s="1113"/>
      <c r="K778" s="111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13"/>
      <c r="B779" s="1118"/>
      <c r="C779" s="1119"/>
      <c r="D779" s="1113"/>
      <c r="E779" s="1113"/>
      <c r="F779" s="1113"/>
      <c r="G779" s="1113"/>
      <c r="H779" s="1113"/>
      <c r="I779" s="1113"/>
      <c r="J779" s="1113"/>
      <c r="K779" s="111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13"/>
      <c r="B780" s="1118"/>
      <c r="C780" s="1119"/>
      <c r="D780" s="1113"/>
      <c r="E780" s="1113"/>
      <c r="F780" s="1113"/>
      <c r="G780" s="1113"/>
      <c r="H780" s="1113"/>
      <c r="I780" s="1113"/>
      <c r="J780" s="1113"/>
      <c r="K780" s="111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13"/>
      <c r="B781" s="1118"/>
      <c r="C781" s="1119"/>
      <c r="D781" s="1113"/>
      <c r="E781" s="1113"/>
      <c r="F781" s="1113"/>
      <c r="G781" s="1113"/>
      <c r="H781" s="1113"/>
      <c r="I781" s="1113"/>
      <c r="J781" s="1113"/>
      <c r="K781" s="111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13"/>
      <c r="B782" s="1118"/>
      <c r="C782" s="1119"/>
      <c r="D782" s="1113"/>
      <c r="E782" s="1113"/>
      <c r="F782" s="1113"/>
      <c r="G782" s="1113"/>
      <c r="H782" s="1113"/>
      <c r="I782" s="1113"/>
      <c r="J782" s="1113"/>
      <c r="K782" s="111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13"/>
      <c r="B783" s="1118"/>
      <c r="C783" s="1119"/>
      <c r="D783" s="1113"/>
      <c r="E783" s="1113"/>
      <c r="F783" s="1113"/>
      <c r="G783" s="1113"/>
      <c r="H783" s="1113"/>
      <c r="I783" s="1113"/>
      <c r="J783" s="1113"/>
      <c r="K783" s="111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13"/>
      <c r="B784" s="1118"/>
      <c r="C784" s="1119"/>
      <c r="D784" s="1113"/>
      <c r="E784" s="1113"/>
      <c r="F784" s="1113"/>
      <c r="G784" s="1113"/>
      <c r="H784" s="1113"/>
      <c r="I784" s="1113"/>
      <c r="J784" s="1113"/>
      <c r="K784" s="111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13"/>
      <c r="B785" s="1118"/>
      <c r="C785" s="1119"/>
      <c r="D785" s="1113"/>
      <c r="E785" s="1113"/>
      <c r="F785" s="1113"/>
      <c r="G785" s="1113"/>
      <c r="H785" s="1113"/>
      <c r="I785" s="1113"/>
      <c r="J785" s="1113"/>
      <c r="K785" s="111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13"/>
      <c r="B786" s="1118"/>
      <c r="C786" s="1119"/>
      <c r="D786" s="1113"/>
      <c r="E786" s="1113"/>
      <c r="F786" s="1113"/>
      <c r="G786" s="1113"/>
      <c r="H786" s="1113"/>
      <c r="I786" s="1113"/>
      <c r="J786" s="1113"/>
      <c r="K786" s="111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13"/>
      <c r="B787" s="1118"/>
      <c r="C787" s="1119"/>
      <c r="D787" s="1113"/>
      <c r="E787" s="1113"/>
      <c r="F787" s="1113"/>
      <c r="G787" s="1113"/>
      <c r="H787" s="1113"/>
      <c r="I787" s="1113"/>
      <c r="J787" s="1113"/>
      <c r="K787" s="111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13"/>
      <c r="B788" s="1118"/>
      <c r="C788" s="1119"/>
      <c r="D788" s="1113"/>
      <c r="E788" s="1113"/>
      <c r="F788" s="1113"/>
      <c r="G788" s="1113"/>
      <c r="H788" s="1113"/>
      <c r="I788" s="1113"/>
      <c r="J788" s="1113"/>
      <c r="K788" s="111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13"/>
      <c r="B789" s="1118"/>
      <c r="C789" s="1119"/>
      <c r="D789" s="1113"/>
      <c r="E789" s="1113"/>
      <c r="F789" s="1113"/>
      <c r="G789" s="1113"/>
      <c r="H789" s="1113"/>
      <c r="I789" s="1113"/>
      <c r="J789" s="1113"/>
      <c r="K789" s="111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13"/>
      <c r="B790" s="1118"/>
      <c r="C790" s="1119"/>
      <c r="D790" s="1113"/>
      <c r="E790" s="1113"/>
      <c r="F790" s="1113"/>
      <c r="G790" s="1113"/>
      <c r="H790" s="1113"/>
      <c r="I790" s="1113"/>
      <c r="J790" s="1113"/>
      <c r="K790" s="111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13"/>
      <c r="B791" s="1118"/>
      <c r="C791" s="1119"/>
      <c r="D791" s="1113"/>
      <c r="E791" s="1113"/>
      <c r="F791" s="1113"/>
      <c r="G791" s="1113"/>
      <c r="H791" s="1113"/>
      <c r="I791" s="1113"/>
      <c r="J791" s="1113"/>
      <c r="K791" s="111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13"/>
      <c r="B792" s="1118"/>
      <c r="C792" s="1119"/>
      <c r="D792" s="1113"/>
      <c r="E792" s="1113"/>
      <c r="F792" s="1113"/>
      <c r="G792" s="1113"/>
      <c r="H792" s="1113"/>
      <c r="I792" s="1113"/>
      <c r="J792" s="1113"/>
      <c r="K792" s="111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13"/>
      <c r="B793" s="1118"/>
      <c r="C793" s="1119"/>
      <c r="D793" s="1113"/>
      <c r="E793" s="1113"/>
      <c r="F793" s="1113"/>
      <c r="G793" s="1113"/>
      <c r="H793" s="1113"/>
      <c r="I793" s="1113"/>
      <c r="J793" s="1113"/>
      <c r="K793" s="111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13"/>
      <c r="B794" s="1118"/>
      <c r="C794" s="1119"/>
      <c r="D794" s="1113"/>
      <c r="E794" s="1113"/>
      <c r="F794" s="1113"/>
      <c r="G794" s="1113"/>
      <c r="H794" s="1113"/>
      <c r="I794" s="1113"/>
      <c r="J794" s="1113"/>
      <c r="K794" s="111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13"/>
      <c r="B795" s="1118"/>
      <c r="C795" s="1119"/>
      <c r="D795" s="1113"/>
      <c r="E795" s="1113"/>
      <c r="F795" s="1113"/>
      <c r="G795" s="1113"/>
      <c r="H795" s="1113"/>
      <c r="I795" s="1113"/>
      <c r="J795" s="1113"/>
      <c r="K795" s="111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13"/>
      <c r="B796" s="1118"/>
      <c r="C796" s="1119"/>
      <c r="D796" s="1113"/>
      <c r="E796" s="1113"/>
      <c r="F796" s="1113"/>
      <c r="G796" s="1113"/>
      <c r="H796" s="1113"/>
      <c r="I796" s="1113"/>
      <c r="J796" s="1113"/>
      <c r="K796" s="111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13"/>
      <c r="B797" s="1118"/>
      <c r="C797" s="1119"/>
      <c r="D797" s="1113"/>
      <c r="E797" s="1113"/>
      <c r="F797" s="1113"/>
      <c r="G797" s="1113"/>
      <c r="H797" s="1113"/>
      <c r="I797" s="1113"/>
      <c r="J797" s="1113"/>
      <c r="K797" s="111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13"/>
      <c r="B798" s="1118"/>
      <c r="C798" s="1119"/>
      <c r="D798" s="1113"/>
      <c r="E798" s="1113"/>
      <c r="F798" s="1113"/>
      <c r="G798" s="1113"/>
      <c r="H798" s="1113"/>
      <c r="I798" s="1113"/>
      <c r="J798" s="1113"/>
      <c r="K798" s="111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13"/>
      <c r="B799" s="1118"/>
      <c r="C799" s="1119"/>
      <c r="D799" s="1113"/>
      <c r="E799" s="1113"/>
      <c r="F799" s="1113"/>
      <c r="G799" s="1113"/>
      <c r="H799" s="1113"/>
      <c r="I799" s="1113"/>
      <c r="J799" s="1113"/>
      <c r="K799" s="111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13"/>
      <c r="B800" s="1118"/>
      <c r="C800" s="1119"/>
      <c r="D800" s="1113"/>
      <c r="E800" s="1113"/>
      <c r="F800" s="1113"/>
      <c r="G800" s="1113"/>
      <c r="H800" s="1113"/>
      <c r="I800" s="1113"/>
      <c r="J800" s="1113"/>
      <c r="K800" s="111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13"/>
      <c r="B801" s="1118"/>
      <c r="C801" s="1119"/>
      <c r="D801" s="1113"/>
      <c r="E801" s="1113"/>
      <c r="F801" s="1113"/>
      <c r="G801" s="1113"/>
      <c r="H801" s="1113"/>
      <c r="I801" s="1113"/>
      <c r="J801" s="1113"/>
      <c r="K801" s="111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13"/>
      <c r="B802" s="1118"/>
      <c r="C802" s="1119"/>
      <c r="D802" s="1113"/>
      <c r="E802" s="1113"/>
      <c r="F802" s="1113"/>
      <c r="G802" s="1113"/>
      <c r="H802" s="1113"/>
      <c r="I802" s="1113"/>
      <c r="J802" s="1113"/>
      <c r="K802" s="111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13"/>
      <c r="B803" s="1118"/>
      <c r="C803" s="1119"/>
      <c r="D803" s="1113"/>
      <c r="E803" s="1113"/>
      <c r="F803" s="1113"/>
      <c r="G803" s="1113"/>
      <c r="H803" s="1113"/>
      <c r="I803" s="1113"/>
      <c r="J803" s="1113"/>
      <c r="K803" s="111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13"/>
      <c r="B804" s="1118"/>
      <c r="C804" s="1119"/>
      <c r="D804" s="1113"/>
      <c r="E804" s="1113"/>
      <c r="F804" s="1113"/>
      <c r="G804" s="1113"/>
      <c r="H804" s="1113"/>
      <c r="I804" s="1113"/>
      <c r="J804" s="1113"/>
      <c r="K804" s="111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13"/>
      <c r="B805" s="1118"/>
      <c r="C805" s="1119"/>
      <c r="D805" s="1113"/>
      <c r="E805" s="1113"/>
      <c r="F805" s="1113"/>
      <c r="G805" s="1113"/>
      <c r="H805" s="1113"/>
      <c r="I805" s="1113"/>
      <c r="J805" s="1113"/>
      <c r="K805" s="111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13"/>
      <c r="B806" s="1118"/>
      <c r="C806" s="1119"/>
      <c r="D806" s="1113"/>
      <c r="E806" s="1113"/>
      <c r="F806" s="1113"/>
      <c r="G806" s="1113"/>
      <c r="H806" s="1113"/>
      <c r="I806" s="1113"/>
      <c r="J806" s="1113"/>
      <c r="K806" s="111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13"/>
      <c r="B807" s="1118"/>
      <c r="C807" s="1119"/>
      <c r="D807" s="1113"/>
      <c r="E807" s="1113"/>
      <c r="F807" s="1113"/>
      <c r="G807" s="1113"/>
      <c r="H807" s="1113"/>
      <c r="I807" s="1113"/>
      <c r="J807" s="1113"/>
      <c r="K807" s="111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13"/>
      <c r="B808" s="1118"/>
      <c r="C808" s="1119"/>
      <c r="D808" s="1113"/>
      <c r="E808" s="1113"/>
      <c r="F808" s="1113"/>
      <c r="G808" s="1113"/>
      <c r="H808" s="1113"/>
      <c r="I808" s="1113"/>
      <c r="J808" s="1113"/>
      <c r="K808" s="111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13"/>
      <c r="B809" s="1118"/>
      <c r="C809" s="1119"/>
      <c r="D809" s="1113"/>
      <c r="E809" s="1113"/>
      <c r="F809" s="1113"/>
      <c r="G809" s="1113"/>
      <c r="H809" s="1113"/>
      <c r="I809" s="1113"/>
      <c r="J809" s="1113"/>
      <c r="K809" s="111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13"/>
      <c r="B810" s="1118"/>
      <c r="C810" s="1119"/>
      <c r="D810" s="1113"/>
      <c r="E810" s="1113"/>
      <c r="F810" s="1113"/>
      <c r="G810" s="1113"/>
      <c r="H810" s="1113"/>
      <c r="I810" s="1113"/>
      <c r="J810" s="1113"/>
      <c r="K810" s="111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13"/>
      <c r="B811" s="1118"/>
      <c r="C811" s="1119"/>
      <c r="D811" s="1113"/>
      <c r="E811" s="1113"/>
      <c r="F811" s="1113"/>
      <c r="G811" s="1113"/>
      <c r="H811" s="1113"/>
      <c r="I811" s="1113"/>
      <c r="J811" s="1113"/>
      <c r="K811" s="111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13"/>
      <c r="B812" s="1118"/>
      <c r="C812" s="1119"/>
      <c r="D812" s="1113"/>
      <c r="E812" s="1113"/>
      <c r="F812" s="1113"/>
      <c r="G812" s="1113"/>
      <c r="H812" s="1113"/>
      <c r="I812" s="1113"/>
      <c r="J812" s="1113"/>
      <c r="K812" s="111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13"/>
      <c r="B813" s="1118"/>
      <c r="C813" s="1119"/>
      <c r="D813" s="1113"/>
      <c r="E813" s="1113"/>
      <c r="F813" s="1113"/>
      <c r="G813" s="1113"/>
      <c r="H813" s="1113"/>
      <c r="I813" s="1113"/>
      <c r="J813" s="1113"/>
      <c r="K813" s="111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13"/>
      <c r="B814" s="1118"/>
      <c r="C814" s="1119"/>
      <c r="D814" s="1113"/>
      <c r="E814" s="1113"/>
      <c r="F814" s="1113"/>
      <c r="G814" s="1113"/>
      <c r="H814" s="1113"/>
      <c r="I814" s="1113"/>
      <c r="J814" s="1113"/>
      <c r="K814" s="111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13"/>
      <c r="B815" s="1118"/>
      <c r="C815" s="1119"/>
      <c r="D815" s="1113"/>
      <c r="E815" s="1113"/>
      <c r="F815" s="1113"/>
      <c r="G815" s="1113"/>
      <c r="H815" s="1113"/>
      <c r="I815" s="1113"/>
      <c r="J815" s="1113"/>
      <c r="K815" s="111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13"/>
      <c r="B816" s="1118"/>
      <c r="C816" s="1119"/>
      <c r="D816" s="1113"/>
      <c r="E816" s="1113"/>
      <c r="F816" s="1113"/>
      <c r="G816" s="1113"/>
      <c r="H816" s="1113"/>
      <c r="I816" s="1113"/>
      <c r="J816" s="1113"/>
      <c r="K816" s="111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13"/>
      <c r="B817" s="1118"/>
      <c r="C817" s="1119"/>
      <c r="D817" s="1113"/>
      <c r="E817" s="1113"/>
      <c r="F817" s="1113"/>
      <c r="G817" s="1113"/>
      <c r="H817" s="1113"/>
      <c r="I817" s="1113"/>
      <c r="J817" s="1113"/>
      <c r="K817" s="111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13"/>
      <c r="B818" s="1118"/>
      <c r="C818" s="1119"/>
      <c r="D818" s="1113"/>
      <c r="E818" s="1113"/>
      <c r="F818" s="1113"/>
      <c r="G818" s="1113"/>
      <c r="H818" s="1113"/>
      <c r="I818" s="1113"/>
      <c r="J818" s="1113"/>
      <c r="K818" s="111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13"/>
      <c r="B819" s="1118"/>
      <c r="C819" s="1119"/>
      <c r="D819" s="1113"/>
      <c r="E819" s="1113"/>
      <c r="F819" s="1113"/>
      <c r="G819" s="1113"/>
      <c r="H819" s="1113"/>
      <c r="I819" s="1113"/>
      <c r="J819" s="1113"/>
      <c r="K819" s="111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13"/>
      <c r="B820" s="1118"/>
      <c r="C820" s="1119"/>
      <c r="D820" s="1113"/>
      <c r="E820" s="1113"/>
      <c r="F820" s="1113"/>
      <c r="G820" s="1113"/>
      <c r="H820" s="1113"/>
      <c r="I820" s="1113"/>
      <c r="J820" s="1113"/>
      <c r="K820" s="111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13"/>
      <c r="B821" s="1118"/>
      <c r="C821" s="1119"/>
      <c r="D821" s="1113"/>
      <c r="E821" s="1113"/>
      <c r="F821" s="1113"/>
      <c r="G821" s="1113"/>
      <c r="H821" s="1113"/>
      <c r="I821" s="1113"/>
      <c r="J821" s="1113"/>
      <c r="K821" s="111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13"/>
      <c r="B822" s="1118"/>
      <c r="C822" s="1119"/>
      <c r="D822" s="1113"/>
      <c r="E822" s="1113"/>
      <c r="F822" s="1113"/>
      <c r="G822" s="1113"/>
      <c r="H822" s="1113"/>
      <c r="I822" s="1113"/>
      <c r="J822" s="1113"/>
      <c r="K822" s="111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13"/>
      <c r="B823" s="1118"/>
      <c r="C823" s="1119"/>
      <c r="D823" s="1113"/>
      <c r="E823" s="1113"/>
      <c r="F823" s="1113"/>
      <c r="G823" s="1113"/>
      <c r="H823" s="1113"/>
      <c r="I823" s="1113"/>
      <c r="J823" s="1113"/>
      <c r="K823" s="111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13"/>
      <c r="B824" s="1118"/>
      <c r="C824" s="1119"/>
      <c r="D824" s="1113"/>
      <c r="E824" s="1113"/>
      <c r="F824" s="1113"/>
      <c r="G824" s="1113"/>
      <c r="H824" s="1113"/>
      <c r="I824" s="1113"/>
      <c r="J824" s="1113"/>
      <c r="K824" s="111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13"/>
      <c r="B825" s="1118"/>
      <c r="C825" s="1119"/>
      <c r="D825" s="1113"/>
      <c r="E825" s="1113"/>
      <c r="F825" s="1113"/>
      <c r="G825" s="1113"/>
      <c r="H825" s="1113"/>
      <c r="I825" s="1113"/>
      <c r="J825" s="1113"/>
      <c r="K825" s="111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13"/>
      <c r="B826" s="1118"/>
      <c r="C826" s="1119"/>
      <c r="D826" s="1113"/>
      <c r="E826" s="1113"/>
      <c r="F826" s="1113"/>
      <c r="G826" s="1113"/>
      <c r="H826" s="1113"/>
      <c r="I826" s="1113"/>
      <c r="J826" s="1113"/>
      <c r="K826" s="111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13"/>
      <c r="B827" s="1118"/>
      <c r="C827" s="1119"/>
      <c r="D827" s="1113"/>
      <c r="E827" s="1113"/>
      <c r="F827" s="1113"/>
      <c r="G827" s="1113"/>
      <c r="H827" s="1113"/>
      <c r="I827" s="1113"/>
      <c r="J827" s="1113"/>
      <c r="K827" s="111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13"/>
      <c r="B828" s="1118"/>
      <c r="C828" s="1119"/>
      <c r="D828" s="1113"/>
      <c r="E828" s="1113"/>
      <c r="F828" s="1113"/>
      <c r="G828" s="1113"/>
      <c r="H828" s="1113"/>
      <c r="I828" s="1113"/>
      <c r="J828" s="1113"/>
      <c r="K828" s="111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13"/>
      <c r="B829" s="1118"/>
      <c r="C829" s="1119"/>
      <c r="D829" s="1113"/>
      <c r="E829" s="1113"/>
      <c r="F829" s="1113"/>
      <c r="G829" s="1113"/>
      <c r="H829" s="1113"/>
      <c r="I829" s="1113"/>
      <c r="J829" s="1113"/>
      <c r="K829" s="111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13"/>
      <c r="B830" s="1118"/>
      <c r="C830" s="1119"/>
      <c r="D830" s="1113"/>
      <c r="E830" s="1113"/>
      <c r="F830" s="1113"/>
      <c r="G830" s="1113"/>
      <c r="H830" s="1113"/>
      <c r="I830" s="1113"/>
      <c r="J830" s="1113"/>
      <c r="K830" s="111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13"/>
      <c r="B831" s="1118"/>
      <c r="C831" s="1119"/>
      <c r="D831" s="1113"/>
      <c r="E831" s="1113"/>
      <c r="F831" s="1113"/>
      <c r="G831" s="1113"/>
      <c r="H831" s="1113"/>
      <c r="I831" s="1113"/>
      <c r="J831" s="1113"/>
      <c r="K831" s="111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13"/>
      <c r="B832" s="1118"/>
      <c r="C832" s="1119"/>
      <c r="D832" s="1113"/>
      <c r="E832" s="1113"/>
      <c r="F832" s="1113"/>
      <c r="G832" s="1113"/>
      <c r="H832" s="1113"/>
      <c r="I832" s="1113"/>
      <c r="J832" s="1113"/>
      <c r="K832" s="111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13"/>
      <c r="B833" s="1118"/>
      <c r="C833" s="1119"/>
      <c r="D833" s="1113"/>
      <c r="E833" s="1113"/>
      <c r="F833" s="1113"/>
      <c r="G833" s="1113"/>
      <c r="H833" s="1113"/>
      <c r="I833" s="1113"/>
      <c r="J833" s="1113"/>
      <c r="K833" s="111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13"/>
      <c r="B834" s="1118"/>
      <c r="C834" s="1119"/>
      <c r="D834" s="1113"/>
      <c r="E834" s="1113"/>
      <c r="F834" s="1113"/>
      <c r="G834" s="1113"/>
      <c r="H834" s="1113"/>
      <c r="I834" s="1113"/>
      <c r="J834" s="1113"/>
      <c r="K834" s="111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13"/>
      <c r="B835" s="1118"/>
      <c r="C835" s="1119"/>
      <c r="D835" s="1113"/>
      <c r="E835" s="1113"/>
      <c r="F835" s="1113"/>
      <c r="G835" s="1113"/>
      <c r="H835" s="1113"/>
      <c r="I835" s="1113"/>
      <c r="J835" s="1113"/>
      <c r="K835" s="111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13"/>
      <c r="B836" s="1118"/>
      <c r="C836" s="1119"/>
      <c r="D836" s="1113"/>
      <c r="E836" s="1113"/>
      <c r="F836" s="1113"/>
      <c r="G836" s="1113"/>
      <c r="H836" s="1113"/>
      <c r="I836" s="1113"/>
      <c r="J836" s="1113"/>
      <c r="K836" s="111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13"/>
      <c r="B837" s="1118"/>
      <c r="C837" s="1119"/>
      <c r="D837" s="1113"/>
      <c r="E837" s="1113"/>
      <c r="F837" s="1113"/>
      <c r="G837" s="1113"/>
      <c r="H837" s="1113"/>
      <c r="I837" s="1113"/>
      <c r="J837" s="1113"/>
      <c r="K837" s="111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13"/>
      <c r="B838" s="1118"/>
      <c r="C838" s="1119"/>
      <c r="D838" s="1113"/>
      <c r="E838" s="1113"/>
      <c r="F838" s="1113"/>
      <c r="G838" s="1113"/>
      <c r="H838" s="1113"/>
      <c r="I838" s="1113"/>
      <c r="J838" s="1113"/>
      <c r="K838" s="111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13"/>
      <c r="B839" s="1118"/>
      <c r="C839" s="1119"/>
      <c r="D839" s="1113"/>
      <c r="E839" s="1113"/>
      <c r="F839" s="1113"/>
      <c r="G839" s="1113"/>
      <c r="H839" s="1113"/>
      <c r="I839" s="1113"/>
      <c r="J839" s="1113"/>
      <c r="K839" s="111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13"/>
      <c r="B840" s="1118"/>
      <c r="C840" s="1119"/>
      <c r="D840" s="1113"/>
      <c r="E840" s="1113"/>
      <c r="F840" s="1113"/>
      <c r="G840" s="1113"/>
      <c r="H840" s="1113"/>
      <c r="I840" s="1113"/>
      <c r="J840" s="1113"/>
      <c r="K840" s="111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13"/>
      <c r="B841" s="1118"/>
      <c r="C841" s="1119"/>
      <c r="D841" s="1113"/>
      <c r="E841" s="1113"/>
      <c r="F841" s="1113"/>
      <c r="G841" s="1113"/>
      <c r="H841" s="1113"/>
      <c r="I841" s="1113"/>
      <c r="J841" s="1113"/>
      <c r="K841" s="111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13"/>
      <c r="B842" s="1118"/>
      <c r="C842" s="1119"/>
      <c r="D842" s="1113"/>
      <c r="E842" s="1113"/>
      <c r="F842" s="1113"/>
      <c r="G842" s="1113"/>
      <c r="H842" s="1113"/>
      <c r="I842" s="1113"/>
      <c r="J842" s="1113"/>
      <c r="K842" s="111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13"/>
      <c r="B843" s="1118"/>
      <c r="C843" s="1119"/>
      <c r="D843" s="1113"/>
      <c r="E843" s="1113"/>
      <c r="F843" s="1113"/>
      <c r="G843" s="1113"/>
      <c r="H843" s="1113"/>
      <c r="I843" s="1113"/>
      <c r="J843" s="1113"/>
      <c r="K843" s="111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13"/>
      <c r="B844" s="1118"/>
      <c r="C844" s="1119"/>
      <c r="D844" s="1113"/>
      <c r="E844" s="1113"/>
      <c r="F844" s="1113"/>
      <c r="G844" s="1113"/>
      <c r="H844" s="1113"/>
      <c r="I844" s="1113"/>
      <c r="J844" s="1113"/>
      <c r="K844" s="111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13"/>
      <c r="B845" s="1118"/>
      <c r="C845" s="1119"/>
      <c r="D845" s="1113"/>
      <c r="E845" s="1113"/>
      <c r="F845" s="1113"/>
      <c r="G845" s="1113"/>
      <c r="H845" s="1113"/>
      <c r="I845" s="1113"/>
      <c r="J845" s="1113"/>
      <c r="K845" s="111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13"/>
      <c r="B846" s="1118"/>
      <c r="C846" s="1119"/>
      <c r="D846" s="1113"/>
      <c r="E846" s="1113"/>
      <c r="F846" s="1113"/>
      <c r="G846" s="1113"/>
      <c r="H846" s="1113"/>
      <c r="I846" s="1113"/>
      <c r="J846" s="1113"/>
      <c r="K846" s="111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13"/>
      <c r="B847" s="1118"/>
      <c r="C847" s="1119"/>
      <c r="D847" s="1113"/>
      <c r="E847" s="1113"/>
      <c r="F847" s="1113"/>
      <c r="G847" s="1113"/>
      <c r="H847" s="1113"/>
      <c r="I847" s="1113"/>
      <c r="J847" s="1113"/>
      <c r="K847" s="111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13"/>
      <c r="B848" s="1118"/>
      <c r="C848" s="1119"/>
      <c r="D848" s="1113"/>
      <c r="E848" s="1113"/>
      <c r="F848" s="1113"/>
      <c r="G848" s="1113"/>
      <c r="H848" s="1113"/>
      <c r="I848" s="1113"/>
      <c r="J848" s="1113"/>
      <c r="K848" s="111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13"/>
      <c r="B849" s="1118"/>
      <c r="C849" s="1119"/>
      <c r="D849" s="1113"/>
      <c r="E849" s="1113"/>
      <c r="F849" s="1113"/>
      <c r="G849" s="1113"/>
      <c r="H849" s="1113"/>
      <c r="I849" s="1113"/>
      <c r="J849" s="1113"/>
      <c r="K849" s="111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13"/>
      <c r="B850" s="1118"/>
      <c r="C850" s="1119"/>
      <c r="D850" s="1113"/>
      <c r="E850" s="1113"/>
      <c r="F850" s="1113"/>
      <c r="G850" s="1113"/>
      <c r="H850" s="1113"/>
      <c r="I850" s="1113"/>
      <c r="J850" s="1113"/>
      <c r="K850" s="111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13"/>
      <c r="B851" s="1118"/>
      <c r="C851" s="1119"/>
      <c r="D851" s="1113"/>
      <c r="E851" s="1113"/>
      <c r="F851" s="1113"/>
      <c r="G851" s="1113"/>
      <c r="H851" s="1113"/>
      <c r="I851" s="1113"/>
      <c r="J851" s="1113"/>
      <c r="K851" s="111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13"/>
      <c r="B852" s="1118"/>
      <c r="C852" s="1119"/>
      <c r="D852" s="1113"/>
      <c r="E852" s="1113"/>
      <c r="F852" s="1113"/>
      <c r="G852" s="1113"/>
      <c r="H852" s="1113"/>
      <c r="I852" s="1113"/>
      <c r="J852" s="1113"/>
      <c r="K852" s="111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13"/>
      <c r="B853" s="1118"/>
      <c r="C853" s="1119"/>
      <c r="D853" s="1113"/>
      <c r="E853" s="1113"/>
      <c r="F853" s="1113"/>
      <c r="G853" s="1113"/>
      <c r="H853" s="1113"/>
      <c r="I853" s="1113"/>
      <c r="J853" s="1113"/>
      <c r="K853" s="111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13"/>
      <c r="B854" s="1118"/>
      <c r="C854" s="1119"/>
      <c r="D854" s="1113"/>
      <c r="E854" s="1113"/>
      <c r="F854" s="1113"/>
      <c r="G854" s="1113"/>
      <c r="H854" s="1113"/>
      <c r="I854" s="1113"/>
      <c r="J854" s="1113"/>
      <c r="K854" s="111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13"/>
      <c r="B855" s="1118"/>
      <c r="C855" s="1119"/>
      <c r="D855" s="1113"/>
      <c r="E855" s="1113"/>
      <c r="F855" s="1113"/>
      <c r="G855" s="1113"/>
      <c r="H855" s="1113"/>
      <c r="I855" s="1113"/>
      <c r="J855" s="1113"/>
      <c r="K855" s="111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13"/>
      <c r="B856" s="1118"/>
      <c r="C856" s="1119"/>
      <c r="D856" s="1113"/>
      <c r="E856" s="1113"/>
      <c r="F856" s="1113"/>
      <c r="G856" s="1113"/>
      <c r="H856" s="1113"/>
      <c r="I856" s="1113"/>
      <c r="J856" s="1113"/>
      <c r="K856" s="111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13"/>
      <c r="B857" s="1118"/>
      <c r="C857" s="1119"/>
      <c r="D857" s="1113"/>
      <c r="E857" s="1113"/>
      <c r="F857" s="1113"/>
      <c r="G857" s="1113"/>
      <c r="H857" s="1113"/>
      <c r="I857" s="1113"/>
      <c r="J857" s="1113"/>
      <c r="K857" s="111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13"/>
      <c r="B858" s="1118"/>
      <c r="C858" s="1119"/>
      <c r="D858" s="1113"/>
      <c r="E858" s="1113"/>
      <c r="F858" s="1113"/>
      <c r="G858" s="1113"/>
      <c r="H858" s="1113"/>
      <c r="I858" s="1113"/>
      <c r="J858" s="1113"/>
      <c r="K858" s="111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13"/>
      <c r="B859" s="1118"/>
      <c r="C859" s="1119"/>
      <c r="D859" s="1113"/>
      <c r="E859" s="1113"/>
      <c r="F859" s="1113"/>
      <c r="G859" s="1113"/>
      <c r="H859" s="1113"/>
      <c r="I859" s="1113"/>
      <c r="J859" s="1113"/>
      <c r="K859" s="111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13"/>
      <c r="B860" s="1118"/>
      <c r="C860" s="1119"/>
      <c r="D860" s="1113"/>
      <c r="E860" s="1113"/>
      <c r="F860" s="1113"/>
      <c r="G860" s="1113"/>
      <c r="H860" s="1113"/>
      <c r="I860" s="1113"/>
      <c r="J860" s="1113"/>
      <c r="K860" s="111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13"/>
      <c r="B861" s="1118"/>
      <c r="C861" s="1119"/>
      <c r="D861" s="1113"/>
      <c r="E861" s="1113"/>
      <c r="F861" s="1113"/>
      <c r="G861" s="1113"/>
      <c r="H861" s="1113"/>
      <c r="I861" s="1113"/>
      <c r="J861" s="1113"/>
      <c r="K861" s="111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13"/>
      <c r="B862" s="1118"/>
      <c r="C862" s="1119"/>
      <c r="D862" s="1113"/>
      <c r="E862" s="1113"/>
      <c r="F862" s="1113"/>
      <c r="G862" s="1113"/>
      <c r="H862" s="1113"/>
      <c r="I862" s="1113"/>
      <c r="J862" s="1113"/>
      <c r="K862" s="111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13"/>
      <c r="B863" s="1118"/>
      <c r="C863" s="1119"/>
      <c r="D863" s="1113"/>
      <c r="E863" s="1113"/>
      <c r="F863" s="1113"/>
      <c r="G863" s="1113"/>
      <c r="H863" s="1113"/>
      <c r="I863" s="1113"/>
      <c r="J863" s="1113"/>
      <c r="K863" s="111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13"/>
      <c r="B864" s="1118"/>
      <c r="C864" s="1119"/>
      <c r="D864" s="1113"/>
      <c r="E864" s="1113"/>
      <c r="F864" s="1113"/>
      <c r="G864" s="1113"/>
      <c r="H864" s="1113"/>
      <c r="I864" s="1113"/>
      <c r="J864" s="1113"/>
      <c r="K864" s="111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13"/>
      <c r="B865" s="1118"/>
      <c r="C865" s="1119"/>
      <c r="D865" s="1113"/>
      <c r="E865" s="1113"/>
      <c r="F865" s="1113"/>
      <c r="G865" s="1113"/>
      <c r="H865" s="1113"/>
      <c r="I865" s="1113"/>
      <c r="J865" s="1113"/>
      <c r="K865" s="111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13"/>
      <c r="B866" s="1118"/>
      <c r="C866" s="1119"/>
      <c r="D866" s="1113"/>
      <c r="E866" s="1113"/>
      <c r="F866" s="1113"/>
      <c r="G866" s="1113"/>
      <c r="H866" s="1113"/>
      <c r="I866" s="1113"/>
      <c r="J866" s="1113"/>
      <c r="K866" s="111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13"/>
      <c r="B867" s="1118"/>
      <c r="C867" s="1119"/>
      <c r="D867" s="1113"/>
      <c r="E867" s="1113"/>
      <c r="F867" s="1113"/>
      <c r="G867" s="1113"/>
      <c r="H867" s="1113"/>
      <c r="I867" s="1113"/>
      <c r="J867" s="1113"/>
      <c r="K867" s="111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13"/>
      <c r="B868" s="1118"/>
      <c r="C868" s="1119"/>
      <c r="D868" s="1113"/>
      <c r="E868" s="1113"/>
      <c r="F868" s="1113"/>
      <c r="G868" s="1113"/>
      <c r="H868" s="1113"/>
      <c r="I868" s="1113"/>
      <c r="J868" s="1113"/>
      <c r="K868" s="111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13"/>
      <c r="B869" s="1118"/>
      <c r="C869" s="1119"/>
      <c r="D869" s="1113"/>
      <c r="E869" s="1113"/>
      <c r="F869" s="1113"/>
      <c r="G869" s="1113"/>
      <c r="H869" s="1113"/>
      <c r="I869" s="1113"/>
      <c r="J869" s="1113"/>
      <c r="K869" s="111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13"/>
      <c r="B870" s="1118"/>
      <c r="C870" s="1119"/>
      <c r="D870" s="1113"/>
      <c r="E870" s="1113"/>
      <c r="F870" s="1113"/>
      <c r="G870" s="1113"/>
      <c r="H870" s="1113"/>
      <c r="I870" s="1113"/>
      <c r="J870" s="1113"/>
      <c r="K870" s="111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13"/>
      <c r="B871" s="1118"/>
      <c r="C871" s="1119"/>
      <c r="D871" s="1113"/>
      <c r="E871" s="1113"/>
      <c r="F871" s="1113"/>
      <c r="G871" s="1113"/>
      <c r="H871" s="1113"/>
      <c r="I871" s="1113"/>
      <c r="J871" s="1113"/>
      <c r="K871" s="111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13"/>
      <c r="B872" s="1118"/>
      <c r="C872" s="1119"/>
      <c r="D872" s="1113"/>
      <c r="E872" s="1113"/>
      <c r="F872" s="1113"/>
      <c r="G872" s="1113"/>
      <c r="H872" s="1113"/>
      <c r="I872" s="1113"/>
      <c r="J872" s="1113"/>
      <c r="K872" s="111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13"/>
      <c r="B873" s="1118"/>
      <c r="C873" s="1119"/>
      <c r="D873" s="1113"/>
      <c r="E873" s="1113"/>
      <c r="F873" s="1113"/>
      <c r="G873" s="1113"/>
      <c r="H873" s="1113"/>
      <c r="I873" s="1113"/>
      <c r="J873" s="1113"/>
      <c r="K873" s="111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13"/>
      <c r="B874" s="1118"/>
      <c r="C874" s="1119"/>
      <c r="D874" s="1113"/>
      <c r="E874" s="1113"/>
      <c r="F874" s="1113"/>
      <c r="G874" s="1113"/>
      <c r="H874" s="1113"/>
      <c r="I874" s="1113"/>
      <c r="J874" s="1113"/>
      <c r="K874" s="111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13"/>
      <c r="B875" s="1118"/>
      <c r="C875" s="1119"/>
      <c r="D875" s="1113"/>
      <c r="E875" s="1113"/>
      <c r="F875" s="1113"/>
      <c r="G875" s="1113"/>
      <c r="H875" s="1113"/>
      <c r="I875" s="1113"/>
      <c r="J875" s="1113"/>
      <c r="K875" s="111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13"/>
      <c r="B876" s="1118"/>
      <c r="C876" s="1119"/>
      <c r="D876" s="1113"/>
      <c r="E876" s="1113"/>
      <c r="F876" s="1113"/>
      <c r="G876" s="1113"/>
      <c r="H876" s="1113"/>
      <c r="I876" s="1113"/>
      <c r="J876" s="1113"/>
      <c r="K876" s="111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13"/>
      <c r="B877" s="1118"/>
      <c r="C877" s="1119"/>
      <c r="D877" s="1113"/>
      <c r="E877" s="1113"/>
      <c r="F877" s="1113"/>
      <c r="G877" s="1113"/>
      <c r="H877" s="1113"/>
      <c r="I877" s="1113"/>
      <c r="J877" s="1113"/>
      <c r="K877" s="111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13"/>
      <c r="B878" s="1118"/>
      <c r="C878" s="1119"/>
      <c r="D878" s="1113"/>
      <c r="E878" s="1113"/>
      <c r="F878" s="1113"/>
      <c r="G878" s="1113"/>
      <c r="H878" s="1113"/>
      <c r="I878" s="1113"/>
      <c r="J878" s="1113"/>
      <c r="K878" s="111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13"/>
      <c r="B879" s="1118"/>
      <c r="C879" s="1119"/>
      <c r="D879" s="1113"/>
      <c r="E879" s="1113"/>
      <c r="F879" s="1113"/>
      <c r="G879" s="1113"/>
      <c r="H879" s="1113"/>
      <c r="I879" s="1113"/>
      <c r="J879" s="1113"/>
      <c r="K879" s="111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13"/>
      <c r="B880" s="1118"/>
      <c r="C880" s="1119"/>
      <c r="D880" s="1113"/>
      <c r="E880" s="1113"/>
      <c r="F880" s="1113"/>
      <c r="G880" s="1113"/>
      <c r="H880" s="1113"/>
      <c r="I880" s="1113"/>
      <c r="J880" s="1113"/>
      <c r="K880" s="111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13"/>
      <c r="B881" s="1118"/>
      <c r="C881" s="1119"/>
      <c r="D881" s="1113"/>
      <c r="E881" s="1113"/>
      <c r="F881" s="1113"/>
      <c r="G881" s="1113"/>
      <c r="H881" s="1113"/>
      <c r="I881" s="1113"/>
      <c r="J881" s="1113"/>
      <c r="K881" s="111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13"/>
      <c r="B882" s="1118"/>
      <c r="C882" s="1119"/>
      <c r="D882" s="1113"/>
      <c r="E882" s="1113"/>
      <c r="F882" s="1113"/>
      <c r="G882" s="1113"/>
      <c r="H882" s="1113"/>
      <c r="I882" s="1113"/>
      <c r="J882" s="1113"/>
      <c r="K882" s="111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13"/>
      <c r="B883" s="1118"/>
      <c r="C883" s="1119"/>
      <c r="D883" s="1113"/>
      <c r="E883" s="1113"/>
      <c r="F883" s="1113"/>
      <c r="G883" s="1113"/>
      <c r="H883" s="1113"/>
      <c r="I883" s="1113"/>
      <c r="J883" s="1113"/>
      <c r="K883" s="111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13"/>
      <c r="B884" s="1118"/>
      <c r="C884" s="1119"/>
      <c r="D884" s="1113"/>
      <c r="E884" s="1113"/>
      <c r="F884" s="1113"/>
      <c r="G884" s="1113"/>
      <c r="H884" s="1113"/>
      <c r="I884" s="1113"/>
      <c r="J884" s="1113"/>
      <c r="K884" s="111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13"/>
      <c r="B885" s="1118"/>
      <c r="C885" s="1119"/>
      <c r="D885" s="1113"/>
      <c r="E885" s="1113"/>
      <c r="F885" s="1113"/>
      <c r="G885" s="1113"/>
      <c r="H885" s="1113"/>
      <c r="I885" s="1113"/>
      <c r="J885" s="1113"/>
      <c r="K885" s="111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13"/>
      <c r="B886" s="1118"/>
      <c r="C886" s="1119"/>
      <c r="D886" s="1113"/>
      <c r="E886" s="1113"/>
      <c r="F886" s="1113"/>
      <c r="G886" s="1113"/>
      <c r="H886" s="1113"/>
      <c r="I886" s="1113"/>
      <c r="J886" s="1113"/>
      <c r="K886" s="111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13"/>
      <c r="B887" s="1118"/>
      <c r="C887" s="1119"/>
      <c r="D887" s="1113"/>
      <c r="E887" s="1113"/>
      <c r="F887" s="1113"/>
      <c r="G887" s="1113"/>
      <c r="H887" s="1113"/>
      <c r="I887" s="1113"/>
      <c r="J887" s="1113"/>
      <c r="K887" s="111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13"/>
      <c r="B888" s="1118"/>
      <c r="C888" s="1119"/>
      <c r="D888" s="1113"/>
      <c r="E888" s="1113"/>
      <c r="F888" s="1113"/>
      <c r="G888" s="1113"/>
      <c r="H888" s="1113"/>
      <c r="I888" s="1113"/>
      <c r="J888" s="1113"/>
      <c r="K888" s="111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13"/>
      <c r="B889" s="1118"/>
      <c r="C889" s="1119"/>
      <c r="D889" s="1113"/>
      <c r="E889" s="1113"/>
      <c r="F889" s="1113"/>
      <c r="G889" s="1113"/>
      <c r="H889" s="1113"/>
      <c r="I889" s="1113"/>
      <c r="J889" s="1113"/>
      <c r="K889" s="111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13"/>
      <c r="B890" s="1118"/>
      <c r="C890" s="1119"/>
      <c r="D890" s="1113"/>
      <c r="E890" s="1113"/>
      <c r="F890" s="1113"/>
      <c r="G890" s="1113"/>
      <c r="H890" s="1113"/>
      <c r="I890" s="1113"/>
      <c r="J890" s="1113"/>
      <c r="K890" s="111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13"/>
      <c r="B891" s="1118"/>
      <c r="C891" s="1119"/>
      <c r="D891" s="1113"/>
      <c r="E891" s="1113"/>
      <c r="F891" s="1113"/>
      <c r="G891" s="1113"/>
      <c r="H891" s="1113"/>
      <c r="I891" s="1113"/>
      <c r="J891" s="1113"/>
      <c r="K891" s="111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13"/>
      <c r="B892" s="1118"/>
      <c r="C892" s="1119"/>
      <c r="D892" s="1113"/>
      <c r="E892" s="1113"/>
      <c r="F892" s="1113"/>
      <c r="G892" s="1113"/>
      <c r="H892" s="1113"/>
      <c r="I892" s="1113"/>
      <c r="J892" s="1113"/>
      <c r="K892" s="111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13"/>
      <c r="B893" s="1118"/>
      <c r="C893" s="1119"/>
      <c r="D893" s="1113"/>
      <c r="E893" s="1113"/>
      <c r="F893" s="1113"/>
      <c r="G893" s="1113"/>
      <c r="H893" s="1113"/>
      <c r="I893" s="1113"/>
      <c r="J893" s="1113"/>
      <c r="K893" s="111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13"/>
      <c r="B894" s="1118"/>
      <c r="C894" s="1119"/>
      <c r="D894" s="1113"/>
      <c r="E894" s="1113"/>
      <c r="F894" s="1113"/>
      <c r="G894" s="1113"/>
      <c r="H894" s="1113"/>
      <c r="I894" s="1113"/>
      <c r="J894" s="1113"/>
      <c r="K894" s="111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13"/>
      <c r="B895" s="1118"/>
      <c r="C895" s="1119"/>
      <c r="D895" s="1113"/>
      <c r="E895" s="1113"/>
      <c r="F895" s="1113"/>
      <c r="G895" s="1113"/>
      <c r="H895" s="1113"/>
      <c r="I895" s="1113"/>
      <c r="J895" s="1113"/>
      <c r="K895" s="111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13"/>
      <c r="B896" s="1118"/>
      <c r="C896" s="1119"/>
      <c r="D896" s="1113"/>
      <c r="E896" s="1113"/>
      <c r="F896" s="1113"/>
      <c r="G896" s="1113"/>
      <c r="H896" s="1113"/>
      <c r="I896" s="1113"/>
      <c r="J896" s="1113"/>
      <c r="K896" s="111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13"/>
      <c r="B897" s="1118"/>
      <c r="C897" s="1119"/>
      <c r="D897" s="1113"/>
      <c r="E897" s="1113"/>
      <c r="F897" s="1113"/>
      <c r="G897" s="1113"/>
      <c r="H897" s="1113"/>
      <c r="I897" s="1113"/>
      <c r="J897" s="1113"/>
      <c r="K897" s="111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13"/>
      <c r="B898" s="1118"/>
      <c r="C898" s="1119"/>
      <c r="D898" s="1113"/>
      <c r="E898" s="1113"/>
      <c r="F898" s="1113"/>
      <c r="G898" s="1113"/>
      <c r="H898" s="1113"/>
      <c r="I898" s="1113"/>
      <c r="J898" s="1113"/>
      <c r="K898" s="111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13"/>
      <c r="B899" s="1118"/>
      <c r="C899" s="1119"/>
      <c r="D899" s="1113"/>
      <c r="E899" s="1113"/>
      <c r="F899" s="1113"/>
      <c r="G899" s="1113"/>
      <c r="H899" s="1113"/>
      <c r="I899" s="1113"/>
      <c r="J899" s="1113"/>
      <c r="K899" s="111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13"/>
      <c r="B900" s="1118"/>
      <c r="C900" s="1119"/>
      <c r="D900" s="1113"/>
      <c r="E900" s="1113"/>
      <c r="F900" s="1113"/>
      <c r="G900" s="1113"/>
      <c r="H900" s="1113"/>
      <c r="I900" s="1113"/>
      <c r="J900" s="1113"/>
      <c r="K900" s="111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13"/>
      <c r="B901" s="1118"/>
      <c r="C901" s="1119"/>
      <c r="D901" s="1113"/>
      <c r="E901" s="1113"/>
      <c r="F901" s="1113"/>
      <c r="G901" s="1113"/>
      <c r="H901" s="1113"/>
      <c r="I901" s="1113"/>
      <c r="J901" s="1113"/>
      <c r="K901" s="111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13"/>
      <c r="B902" s="1118"/>
      <c r="C902" s="1119"/>
      <c r="D902" s="1113"/>
      <c r="E902" s="1113"/>
      <c r="F902" s="1113"/>
      <c r="G902" s="1113"/>
      <c r="H902" s="1113"/>
      <c r="I902" s="1113"/>
      <c r="J902" s="1113"/>
      <c r="K902" s="111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13"/>
      <c r="B903" s="1118"/>
      <c r="C903" s="1119"/>
      <c r="D903" s="1113"/>
      <c r="E903" s="1113"/>
      <c r="F903" s="1113"/>
      <c r="G903" s="1113"/>
      <c r="H903" s="1113"/>
      <c r="I903" s="1113"/>
      <c r="J903" s="1113"/>
      <c r="K903" s="111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13"/>
      <c r="B904" s="1118"/>
      <c r="C904" s="1119"/>
      <c r="D904" s="1113"/>
      <c r="E904" s="1113"/>
      <c r="F904" s="1113"/>
      <c r="G904" s="1113"/>
      <c r="H904" s="1113"/>
      <c r="I904" s="1113"/>
      <c r="J904" s="1113"/>
      <c r="K904" s="111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13"/>
      <c r="B905" s="1118"/>
      <c r="C905" s="1119"/>
      <c r="D905" s="1113"/>
      <c r="E905" s="1113"/>
      <c r="F905" s="1113"/>
      <c r="G905" s="1113"/>
      <c r="H905" s="1113"/>
      <c r="I905" s="1113"/>
      <c r="J905" s="1113"/>
      <c r="K905" s="111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13"/>
      <c r="B906" s="1118"/>
      <c r="C906" s="1119"/>
      <c r="D906" s="1113"/>
      <c r="E906" s="1113"/>
      <c r="F906" s="1113"/>
      <c r="G906" s="1113"/>
      <c r="H906" s="1113"/>
      <c r="I906" s="1113"/>
      <c r="J906" s="1113"/>
      <c r="K906" s="111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13"/>
      <c r="B907" s="1118"/>
      <c r="C907" s="1119"/>
      <c r="D907" s="1113"/>
      <c r="E907" s="1113"/>
      <c r="F907" s="1113"/>
      <c r="G907" s="1113"/>
      <c r="H907" s="1113"/>
      <c r="I907" s="1113"/>
      <c r="J907" s="1113"/>
      <c r="K907" s="111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13"/>
      <c r="B908" s="1118"/>
      <c r="C908" s="1119"/>
      <c r="D908" s="1113"/>
      <c r="E908" s="1113"/>
      <c r="F908" s="1113"/>
      <c r="G908" s="1113"/>
      <c r="H908" s="1113"/>
      <c r="I908" s="1113"/>
      <c r="J908" s="1113"/>
      <c r="K908" s="111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13"/>
      <c r="B909" s="1118"/>
      <c r="C909" s="1119"/>
      <c r="D909" s="1113"/>
      <c r="E909" s="1113"/>
      <c r="F909" s="1113"/>
      <c r="G909" s="1113"/>
      <c r="H909" s="1113"/>
      <c r="I909" s="1113"/>
      <c r="J909" s="1113"/>
      <c r="K909" s="111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13"/>
      <c r="B910" s="1118"/>
      <c r="C910" s="1119"/>
      <c r="D910" s="1113"/>
      <c r="E910" s="1113"/>
      <c r="F910" s="1113"/>
      <c r="G910" s="1113"/>
      <c r="H910" s="1113"/>
      <c r="I910" s="1113"/>
      <c r="J910" s="1113"/>
      <c r="K910" s="111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13"/>
      <c r="B911" s="1118"/>
      <c r="C911" s="1119"/>
      <c r="D911" s="1113"/>
      <c r="E911" s="1113"/>
      <c r="F911" s="1113"/>
      <c r="G911" s="1113"/>
      <c r="H911" s="1113"/>
      <c r="I911" s="1113"/>
      <c r="J911" s="1113"/>
      <c r="K911" s="111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13"/>
      <c r="B912" s="1118"/>
      <c r="C912" s="1119"/>
      <c r="D912" s="1113"/>
      <c r="E912" s="1113"/>
      <c r="F912" s="1113"/>
      <c r="G912" s="1113"/>
      <c r="H912" s="1113"/>
      <c r="I912" s="1113"/>
      <c r="J912" s="1113"/>
      <c r="K912" s="111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13"/>
      <c r="B913" s="1118"/>
      <c r="C913" s="1119"/>
      <c r="D913" s="1113"/>
      <c r="E913" s="1113"/>
      <c r="F913" s="1113"/>
      <c r="G913" s="1113"/>
      <c r="H913" s="1113"/>
      <c r="I913" s="1113"/>
      <c r="J913" s="1113"/>
      <c r="K913" s="111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13"/>
      <c r="B914" s="1118"/>
      <c r="C914" s="1119"/>
      <c r="D914" s="1113"/>
      <c r="E914" s="1113"/>
      <c r="F914" s="1113"/>
      <c r="G914" s="1113"/>
      <c r="H914" s="1113"/>
      <c r="I914" s="1113"/>
      <c r="J914" s="1113"/>
      <c r="K914" s="111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13"/>
      <c r="B915" s="1118"/>
      <c r="C915" s="1119"/>
      <c r="D915" s="1113"/>
      <c r="E915" s="1113"/>
      <c r="F915" s="1113"/>
      <c r="G915" s="1113"/>
      <c r="H915" s="1113"/>
      <c r="I915" s="1113"/>
      <c r="J915" s="1113"/>
      <c r="K915" s="111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13"/>
      <c r="B916" s="1118"/>
      <c r="C916" s="1119"/>
      <c r="D916" s="1113"/>
      <c r="E916" s="1113"/>
      <c r="F916" s="1113"/>
      <c r="G916" s="1113"/>
      <c r="H916" s="1113"/>
      <c r="I916" s="1113"/>
      <c r="J916" s="1113"/>
      <c r="K916" s="111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13"/>
      <c r="B917" s="1118"/>
      <c r="C917" s="1119"/>
      <c r="D917" s="1113"/>
      <c r="E917" s="1113"/>
      <c r="F917" s="1113"/>
      <c r="G917" s="1113"/>
      <c r="H917" s="1113"/>
      <c r="I917" s="1113"/>
      <c r="J917" s="1113"/>
      <c r="K917" s="111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13"/>
      <c r="B918" s="1118"/>
      <c r="C918" s="1119"/>
      <c r="D918" s="1113"/>
      <c r="E918" s="1113"/>
      <c r="F918" s="1113"/>
      <c r="G918" s="1113"/>
      <c r="H918" s="1113"/>
      <c r="I918" s="1113"/>
      <c r="J918" s="1113"/>
      <c r="K918" s="111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13"/>
      <c r="B919" s="1118"/>
      <c r="C919" s="1119"/>
      <c r="D919" s="1113"/>
      <c r="E919" s="1113"/>
      <c r="F919" s="1113"/>
      <c r="G919" s="1113"/>
      <c r="H919" s="1113"/>
      <c r="I919" s="1113"/>
      <c r="J919" s="1113"/>
      <c r="K919" s="111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13"/>
      <c r="B920" s="1118"/>
      <c r="C920" s="1119"/>
      <c r="D920" s="1113"/>
      <c r="E920" s="1113"/>
      <c r="F920" s="1113"/>
      <c r="G920" s="1113"/>
      <c r="H920" s="1113"/>
      <c r="I920" s="1113"/>
      <c r="J920" s="1113"/>
      <c r="K920" s="111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13"/>
      <c r="B921" s="1118"/>
      <c r="C921" s="1119"/>
      <c r="D921" s="1113"/>
      <c r="E921" s="1113"/>
      <c r="F921" s="1113"/>
      <c r="G921" s="1113"/>
      <c r="H921" s="1113"/>
      <c r="I921" s="1113"/>
      <c r="J921" s="1113"/>
      <c r="K921" s="111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13"/>
      <c r="B922" s="1118"/>
      <c r="C922" s="1119"/>
      <c r="D922" s="1113"/>
      <c r="E922" s="1113"/>
      <c r="F922" s="1113"/>
      <c r="G922" s="1113"/>
      <c r="H922" s="1113"/>
      <c r="I922" s="1113"/>
      <c r="J922" s="1113"/>
      <c r="K922" s="111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13"/>
      <c r="B923" s="1118"/>
      <c r="C923" s="1119"/>
      <c r="D923" s="1113"/>
      <c r="E923" s="1113"/>
      <c r="F923" s="1113"/>
      <c r="G923" s="1113"/>
      <c r="H923" s="1113"/>
      <c r="I923" s="1113"/>
      <c r="J923" s="1113"/>
      <c r="K923" s="111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13"/>
      <c r="B924" s="1118"/>
      <c r="C924" s="1119"/>
      <c r="D924" s="1113"/>
      <c r="E924" s="1113"/>
      <c r="F924" s="1113"/>
      <c r="G924" s="1113"/>
      <c r="H924" s="1113"/>
      <c r="I924" s="1113"/>
      <c r="J924" s="1113"/>
      <c r="K924" s="111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13"/>
      <c r="B925" s="1118"/>
      <c r="C925" s="1119"/>
      <c r="D925" s="1113"/>
      <c r="E925" s="1113"/>
      <c r="F925" s="1113"/>
      <c r="G925" s="1113"/>
      <c r="H925" s="1113"/>
      <c r="I925" s="1113"/>
      <c r="J925" s="1113"/>
      <c r="K925" s="111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13"/>
      <c r="B926" s="1118"/>
      <c r="C926" s="1119"/>
      <c r="D926" s="1113"/>
      <c r="E926" s="1113"/>
      <c r="F926" s="1113"/>
      <c r="G926" s="1113"/>
      <c r="H926" s="1113"/>
      <c r="I926" s="1113"/>
      <c r="J926" s="1113"/>
      <c r="K926" s="111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13"/>
      <c r="B927" s="1118"/>
      <c r="C927" s="1119"/>
      <c r="D927" s="1113"/>
      <c r="E927" s="1113"/>
      <c r="F927" s="1113"/>
      <c r="G927" s="1113"/>
      <c r="H927" s="1113"/>
      <c r="I927" s="1113"/>
      <c r="J927" s="1113"/>
      <c r="K927" s="111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13"/>
      <c r="B928" s="1118"/>
      <c r="C928" s="1119"/>
      <c r="D928" s="1113"/>
      <c r="E928" s="1113"/>
      <c r="F928" s="1113"/>
      <c r="G928" s="1113"/>
      <c r="H928" s="1113"/>
      <c r="I928" s="1113"/>
      <c r="J928" s="1113"/>
      <c r="K928" s="111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13"/>
      <c r="B929" s="1118"/>
      <c r="C929" s="1119"/>
      <c r="D929" s="1113"/>
      <c r="E929" s="1113"/>
      <c r="F929" s="1113"/>
      <c r="G929" s="1113"/>
      <c r="H929" s="1113"/>
      <c r="I929" s="1113"/>
      <c r="J929" s="1113"/>
      <c r="K929" s="111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13"/>
      <c r="B930" s="1118"/>
      <c r="C930" s="1119"/>
      <c r="D930" s="1113"/>
      <c r="E930" s="1113"/>
      <c r="F930" s="1113"/>
      <c r="G930" s="1113"/>
      <c r="H930" s="1113"/>
      <c r="I930" s="1113"/>
      <c r="J930" s="1113"/>
      <c r="K930" s="111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13"/>
      <c r="B931" s="1118"/>
      <c r="C931" s="1119"/>
      <c r="D931" s="1113"/>
      <c r="E931" s="1113"/>
      <c r="F931" s="1113"/>
      <c r="G931" s="1113"/>
      <c r="H931" s="1113"/>
      <c r="I931" s="1113"/>
      <c r="J931" s="1113"/>
      <c r="K931" s="111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13"/>
      <c r="B932" s="1118"/>
      <c r="C932" s="1119"/>
      <c r="D932" s="1113"/>
      <c r="E932" s="1113"/>
      <c r="F932" s="1113"/>
      <c r="G932" s="1113"/>
      <c r="H932" s="1113"/>
      <c r="I932" s="1113"/>
      <c r="J932" s="1113"/>
      <c r="K932" s="111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13"/>
      <c r="B933" s="1118"/>
      <c r="C933" s="1119"/>
      <c r="D933" s="1113"/>
      <c r="E933" s="1113"/>
      <c r="F933" s="1113"/>
      <c r="G933" s="1113"/>
      <c r="H933" s="1113"/>
      <c r="I933" s="1113"/>
      <c r="J933" s="1113"/>
      <c r="K933" s="111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13"/>
      <c r="B934" s="1118"/>
      <c r="C934" s="1119"/>
      <c r="D934" s="1113"/>
      <c r="E934" s="1113"/>
      <c r="F934" s="1113"/>
      <c r="G934" s="1113"/>
      <c r="H934" s="1113"/>
      <c r="I934" s="1113"/>
      <c r="J934" s="1113"/>
      <c r="K934" s="111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13"/>
      <c r="B935" s="1118"/>
      <c r="C935" s="1119"/>
      <c r="D935" s="1113"/>
      <c r="E935" s="1113"/>
      <c r="F935" s="1113"/>
      <c r="G935" s="1113"/>
      <c r="H935" s="1113"/>
      <c r="I935" s="1113"/>
      <c r="J935" s="1113"/>
      <c r="K935" s="111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13"/>
      <c r="B936" s="1118"/>
      <c r="C936" s="1119"/>
      <c r="D936" s="1113"/>
      <c r="E936" s="1113"/>
      <c r="F936" s="1113"/>
      <c r="G936" s="1113"/>
      <c r="H936" s="1113"/>
      <c r="I936" s="1113"/>
      <c r="J936" s="1113"/>
      <c r="K936" s="111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13"/>
      <c r="B937" s="1118"/>
      <c r="C937" s="1119"/>
      <c r="D937" s="1113"/>
      <c r="E937" s="1113"/>
      <c r="F937" s="1113"/>
      <c r="G937" s="1113"/>
      <c r="H937" s="1113"/>
      <c r="I937" s="1113"/>
      <c r="J937" s="1113"/>
      <c r="K937" s="111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13"/>
      <c r="B938" s="1118"/>
      <c r="C938" s="1119"/>
      <c r="D938" s="1113"/>
      <c r="E938" s="1113"/>
      <c r="F938" s="1113"/>
      <c r="G938" s="1113"/>
      <c r="H938" s="1113"/>
      <c r="I938" s="1113"/>
      <c r="J938" s="1113"/>
      <c r="K938" s="111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13"/>
      <c r="B939" s="1118"/>
      <c r="C939" s="1119"/>
      <c r="D939" s="1113"/>
      <c r="E939" s="1113"/>
      <c r="F939" s="1113"/>
      <c r="G939" s="1113"/>
      <c r="H939" s="1113"/>
      <c r="I939" s="1113"/>
      <c r="J939" s="1113"/>
      <c r="K939" s="111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13"/>
      <c r="B940" s="1118"/>
      <c r="C940" s="1119"/>
      <c r="D940" s="1113"/>
      <c r="E940" s="1113"/>
      <c r="F940" s="1113"/>
      <c r="G940" s="1113"/>
      <c r="H940" s="1113"/>
      <c r="I940" s="1113"/>
      <c r="J940" s="1113"/>
      <c r="K940" s="111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13"/>
      <c r="B941" s="1118"/>
      <c r="C941" s="1119"/>
      <c r="D941" s="1113"/>
      <c r="E941" s="1113"/>
      <c r="F941" s="1113"/>
      <c r="G941" s="1113"/>
      <c r="H941" s="1113"/>
      <c r="I941" s="1113"/>
      <c r="J941" s="1113"/>
      <c r="K941" s="111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13"/>
      <c r="B942" s="1118"/>
      <c r="C942" s="1119"/>
      <c r="D942" s="1113"/>
      <c r="E942" s="1113"/>
      <c r="F942" s="1113"/>
      <c r="G942" s="1113"/>
      <c r="H942" s="1113"/>
      <c r="I942" s="1113"/>
      <c r="J942" s="1113"/>
      <c r="K942" s="111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13"/>
      <c r="B943" s="1118"/>
      <c r="C943" s="1119"/>
      <c r="D943" s="1113"/>
      <c r="E943" s="1113"/>
      <c r="F943" s="1113"/>
      <c r="G943" s="1113"/>
      <c r="H943" s="1113"/>
      <c r="I943" s="1113"/>
      <c r="J943" s="1113"/>
      <c r="K943" s="111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13"/>
      <c r="B944" s="1118"/>
      <c r="C944" s="1119"/>
      <c r="D944" s="1113"/>
      <c r="E944" s="1113"/>
      <c r="F944" s="1113"/>
      <c r="G944" s="1113"/>
      <c r="H944" s="1113"/>
      <c r="I944" s="1113"/>
      <c r="J944" s="1113"/>
      <c r="K944" s="111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13"/>
      <c r="B945" s="1118"/>
      <c r="C945" s="1119"/>
      <c r="D945" s="1113"/>
      <c r="E945" s="1113"/>
      <c r="F945" s="1113"/>
      <c r="G945" s="1113"/>
      <c r="H945" s="1113"/>
      <c r="I945" s="1113"/>
      <c r="J945" s="1113"/>
      <c r="K945" s="111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13"/>
      <c r="B946" s="1118"/>
      <c r="C946" s="1119"/>
      <c r="D946" s="1113"/>
      <c r="E946" s="1113"/>
      <c r="F946" s="1113"/>
      <c r="G946" s="1113"/>
      <c r="H946" s="1113"/>
      <c r="I946" s="1113"/>
      <c r="J946" s="1113"/>
      <c r="K946" s="111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13"/>
      <c r="B947" s="1118"/>
      <c r="C947" s="1119"/>
      <c r="D947" s="1113"/>
      <c r="E947" s="1113"/>
      <c r="F947" s="1113"/>
      <c r="G947" s="1113"/>
      <c r="H947" s="1113"/>
      <c r="I947" s="1113"/>
      <c r="J947" s="1113"/>
      <c r="K947" s="111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13"/>
      <c r="B948" s="1118"/>
      <c r="C948" s="1119"/>
      <c r="D948" s="1113"/>
      <c r="E948" s="1113"/>
      <c r="F948" s="1113"/>
      <c r="G948" s="1113"/>
      <c r="H948" s="1113"/>
      <c r="I948" s="1113"/>
      <c r="J948" s="1113"/>
      <c r="K948" s="111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13"/>
      <c r="B949" s="1118"/>
      <c r="C949" s="1119"/>
      <c r="D949" s="1113"/>
      <c r="E949" s="1113"/>
      <c r="F949" s="1113"/>
      <c r="G949" s="1113"/>
      <c r="H949" s="1113"/>
      <c r="I949" s="1113"/>
      <c r="J949" s="1113"/>
      <c r="K949" s="111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13"/>
      <c r="B950" s="1118"/>
      <c r="C950" s="1119"/>
      <c r="D950" s="1113"/>
      <c r="E950" s="1113"/>
      <c r="F950" s="1113"/>
      <c r="G950" s="1113"/>
      <c r="H950" s="1113"/>
      <c r="I950" s="1113"/>
      <c r="J950" s="1113"/>
      <c r="K950" s="111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13"/>
      <c r="B951" s="1118"/>
      <c r="C951" s="1119"/>
      <c r="D951" s="1113"/>
      <c r="E951" s="1113"/>
      <c r="F951" s="1113"/>
      <c r="G951" s="1113"/>
      <c r="H951" s="1113"/>
      <c r="I951" s="1113"/>
      <c r="J951" s="1113"/>
      <c r="K951" s="111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13"/>
      <c r="B952" s="1118"/>
      <c r="C952" s="1119"/>
      <c r="D952" s="1113"/>
      <c r="E952" s="1113"/>
      <c r="F952" s="1113"/>
      <c r="G952" s="1113"/>
      <c r="H952" s="1113"/>
      <c r="I952" s="1113"/>
      <c r="J952" s="1113"/>
      <c r="K952" s="111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13"/>
      <c r="B953" s="1118"/>
      <c r="C953" s="1119"/>
      <c r="D953" s="1113"/>
      <c r="E953" s="1113"/>
      <c r="F953" s="1113"/>
      <c r="G953" s="1113"/>
      <c r="H953" s="1113"/>
      <c r="I953" s="1113"/>
      <c r="J953" s="1113"/>
      <c r="K953" s="111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13"/>
      <c r="B954" s="1118"/>
      <c r="C954" s="1119"/>
      <c r="D954" s="1113"/>
      <c r="E954" s="1113"/>
      <c r="F954" s="1113"/>
      <c r="G954" s="1113"/>
      <c r="H954" s="1113"/>
      <c r="I954" s="1113"/>
      <c r="J954" s="1113"/>
      <c r="K954" s="111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13"/>
      <c r="B955" s="1118"/>
      <c r="C955" s="1119"/>
      <c r="D955" s="1113"/>
      <c r="E955" s="1113"/>
      <c r="F955" s="1113"/>
      <c r="G955" s="1113"/>
      <c r="H955" s="1113"/>
      <c r="I955" s="1113"/>
      <c r="J955" s="1113"/>
      <c r="K955" s="111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13"/>
      <c r="B956" s="1118"/>
      <c r="C956" s="1119"/>
      <c r="D956" s="1113"/>
      <c r="E956" s="1113"/>
      <c r="F956" s="1113"/>
      <c r="G956" s="1113"/>
      <c r="H956" s="1113"/>
      <c r="I956" s="1113"/>
      <c r="J956" s="1113"/>
      <c r="K956" s="111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13"/>
      <c r="B957" s="1118"/>
      <c r="C957" s="1119"/>
      <c r="D957" s="1113"/>
      <c r="E957" s="1113"/>
      <c r="F957" s="1113"/>
      <c r="G957" s="1113"/>
      <c r="H957" s="1113"/>
      <c r="I957" s="1113"/>
      <c r="J957" s="1113"/>
      <c r="K957" s="111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13"/>
      <c r="B958" s="1118"/>
      <c r="C958" s="1119"/>
      <c r="D958" s="1113"/>
      <c r="E958" s="1113"/>
      <c r="F958" s="1113"/>
      <c r="G958" s="1113"/>
      <c r="H958" s="1113"/>
      <c r="I958" s="1113"/>
      <c r="J958" s="1113"/>
      <c r="K958" s="111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13"/>
      <c r="B959" s="1118"/>
      <c r="C959" s="1119"/>
      <c r="D959" s="1113"/>
      <c r="E959" s="1113"/>
      <c r="F959" s="1113"/>
      <c r="G959" s="1113"/>
      <c r="H959" s="1113"/>
      <c r="I959" s="1113"/>
      <c r="J959" s="1113"/>
      <c r="K959" s="111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13"/>
      <c r="B960" s="1118"/>
      <c r="C960" s="1119"/>
      <c r="D960" s="1113"/>
      <c r="E960" s="1113"/>
      <c r="F960" s="1113"/>
      <c r="G960" s="1113"/>
      <c r="H960" s="1113"/>
      <c r="I960" s="1113"/>
      <c r="J960" s="1113"/>
      <c r="K960" s="111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13"/>
      <c r="B961" s="1118"/>
      <c r="C961" s="1119"/>
      <c r="D961" s="1113"/>
      <c r="E961" s="1113"/>
      <c r="F961" s="1113"/>
      <c r="G961" s="1113"/>
      <c r="H961" s="1113"/>
      <c r="I961" s="1113"/>
      <c r="J961" s="1113"/>
      <c r="K961" s="111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13"/>
      <c r="B962" s="1118"/>
      <c r="C962" s="1119"/>
      <c r="D962" s="1113"/>
      <c r="E962" s="1113"/>
      <c r="F962" s="1113"/>
      <c r="G962" s="1113"/>
      <c r="H962" s="1113"/>
      <c r="I962" s="1113"/>
      <c r="J962" s="1113"/>
      <c r="K962" s="111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13"/>
      <c r="B963" s="1118"/>
      <c r="C963" s="1119"/>
      <c r="D963" s="1113"/>
      <c r="E963" s="1113"/>
      <c r="F963" s="1113"/>
      <c r="G963" s="1113"/>
      <c r="H963" s="1113"/>
      <c r="I963" s="1113"/>
      <c r="J963" s="1113"/>
      <c r="K963" s="111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13"/>
      <c r="B964" s="1118"/>
      <c r="C964" s="1119"/>
      <c r="D964" s="1113"/>
      <c r="E964" s="1113"/>
      <c r="F964" s="1113"/>
      <c r="G964" s="1113"/>
      <c r="H964" s="1113"/>
      <c r="I964" s="1113"/>
      <c r="J964" s="1113"/>
      <c r="K964" s="111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13"/>
      <c r="B965" s="1118"/>
      <c r="C965" s="1119"/>
      <c r="D965" s="1113"/>
      <c r="E965" s="1113"/>
      <c r="F965" s="1113"/>
      <c r="G965" s="1113"/>
      <c r="H965" s="1113"/>
      <c r="I965" s="1113"/>
      <c r="J965" s="1113"/>
      <c r="K965" s="111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13"/>
      <c r="B966" s="1118"/>
      <c r="C966" s="1119"/>
      <c r="D966" s="1113"/>
      <c r="E966" s="1113"/>
      <c r="F966" s="1113"/>
      <c r="G966" s="1113"/>
      <c r="H966" s="1113"/>
      <c r="I966" s="1113"/>
      <c r="J966" s="1113"/>
      <c r="K966" s="111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13"/>
      <c r="B967" s="1118"/>
      <c r="C967" s="1119"/>
      <c r="D967" s="1113"/>
      <c r="E967" s="1113"/>
      <c r="F967" s="1113"/>
      <c r="G967" s="1113"/>
      <c r="H967" s="1113"/>
      <c r="I967" s="1113"/>
      <c r="J967" s="1113"/>
      <c r="K967" s="111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13"/>
      <c r="B968" s="1118"/>
      <c r="C968" s="1119"/>
      <c r="D968" s="1113"/>
      <c r="E968" s="1113"/>
      <c r="F968" s="1113"/>
      <c r="G968" s="1113"/>
      <c r="H968" s="1113"/>
      <c r="I968" s="1113"/>
      <c r="J968" s="1113"/>
      <c r="K968" s="111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13"/>
      <c r="B969" s="1118"/>
      <c r="C969" s="1119"/>
      <c r="D969" s="1113"/>
      <c r="E969" s="1113"/>
      <c r="F969" s="1113"/>
      <c r="G969" s="1113"/>
      <c r="H969" s="1113"/>
      <c r="I969" s="1113"/>
      <c r="J969" s="1113"/>
      <c r="K969" s="111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13"/>
      <c r="B970" s="1118"/>
      <c r="C970" s="1119"/>
      <c r="D970" s="1113"/>
      <c r="E970" s="1113"/>
      <c r="F970" s="1113"/>
      <c r="G970" s="1113"/>
      <c r="H970" s="1113"/>
      <c r="I970" s="1113"/>
      <c r="J970" s="1113"/>
      <c r="K970" s="111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13"/>
      <c r="B971" s="1118"/>
      <c r="C971" s="1119"/>
      <c r="D971" s="1113"/>
      <c r="E971" s="1113"/>
      <c r="F971" s="1113"/>
      <c r="G971" s="1113"/>
      <c r="H971" s="1113"/>
      <c r="I971" s="1113"/>
      <c r="J971" s="1113"/>
      <c r="K971" s="111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13"/>
      <c r="B972" s="1118"/>
      <c r="C972" s="1119"/>
      <c r="D972" s="1113"/>
      <c r="E972" s="1113"/>
      <c r="F972" s="1113"/>
      <c r="G972" s="1113"/>
      <c r="H972" s="1113"/>
      <c r="I972" s="1113"/>
      <c r="J972" s="1113"/>
      <c r="K972" s="111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13"/>
      <c r="B973" s="1118"/>
      <c r="C973" s="1119"/>
      <c r="D973" s="1113"/>
      <c r="E973" s="1113"/>
      <c r="F973" s="1113"/>
      <c r="G973" s="1113"/>
      <c r="H973" s="1113"/>
      <c r="I973" s="1113"/>
      <c r="J973" s="1113"/>
      <c r="K973" s="111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13"/>
      <c r="B974" s="1118"/>
      <c r="C974" s="1119"/>
      <c r="D974" s="1113"/>
      <c r="E974" s="1113"/>
      <c r="F974" s="1113"/>
      <c r="G974" s="1113"/>
      <c r="H974" s="1113"/>
      <c r="I974" s="1113"/>
      <c r="J974" s="1113"/>
      <c r="K974" s="111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13"/>
      <c r="B975" s="1118"/>
      <c r="C975" s="1119"/>
      <c r="D975" s="1113"/>
      <c r="E975" s="1113"/>
      <c r="F975" s="1113"/>
      <c r="G975" s="1113"/>
      <c r="H975" s="1113"/>
      <c r="I975" s="1113"/>
      <c r="J975" s="1113"/>
      <c r="K975" s="111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13"/>
      <c r="B976" s="1118"/>
      <c r="C976" s="1119"/>
      <c r="D976" s="1113"/>
      <c r="E976" s="1113"/>
      <c r="F976" s="1113"/>
      <c r="G976" s="1113"/>
      <c r="H976" s="1113"/>
      <c r="I976" s="1113"/>
      <c r="J976" s="1113"/>
      <c r="K976" s="111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13"/>
      <c r="B977" s="1118"/>
      <c r="C977" s="1119"/>
      <c r="D977" s="1113"/>
      <c r="E977" s="1113"/>
      <c r="F977" s="1113"/>
      <c r="G977" s="1113"/>
      <c r="H977" s="1113"/>
      <c r="I977" s="1113"/>
      <c r="J977" s="1113"/>
      <c r="K977" s="111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13"/>
      <c r="B978" s="1118"/>
      <c r="C978" s="1119"/>
      <c r="D978" s="1113"/>
      <c r="E978" s="1113"/>
      <c r="F978" s="1113"/>
      <c r="G978" s="1113"/>
      <c r="H978" s="1113"/>
      <c r="I978" s="1113"/>
      <c r="J978" s="1113"/>
      <c r="K978" s="111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13"/>
      <c r="B979" s="1118"/>
      <c r="C979" s="1119"/>
      <c r="D979" s="1113"/>
      <c r="E979" s="1113"/>
      <c r="F979" s="1113"/>
      <c r="G979" s="1113"/>
      <c r="H979" s="1113"/>
      <c r="I979" s="1113"/>
      <c r="J979" s="1113"/>
      <c r="K979" s="111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13"/>
      <c r="B980" s="1118"/>
      <c r="C980" s="1119"/>
      <c r="D980" s="1113"/>
      <c r="E980" s="1113"/>
      <c r="F980" s="1113"/>
      <c r="G980" s="1113"/>
      <c r="H980" s="1113"/>
      <c r="I980" s="1113"/>
      <c r="J980" s="1113"/>
      <c r="K980" s="111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13"/>
      <c r="B981" s="1118"/>
      <c r="C981" s="1119"/>
      <c r="D981" s="1113"/>
      <c r="E981" s="1113"/>
      <c r="F981" s="1113"/>
      <c r="G981" s="1113"/>
      <c r="H981" s="1113"/>
      <c r="I981" s="1113"/>
      <c r="J981" s="1113"/>
      <c r="K981" s="111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13"/>
      <c r="B982" s="1118"/>
      <c r="C982" s="1119"/>
      <c r="D982" s="1113"/>
      <c r="E982" s="1113"/>
      <c r="F982" s="1113"/>
      <c r="G982" s="1113"/>
      <c r="H982" s="1113"/>
      <c r="I982" s="1113"/>
      <c r="J982" s="1113"/>
      <c r="K982" s="111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13"/>
      <c r="B983" s="1118"/>
      <c r="C983" s="1119"/>
      <c r="D983" s="1113"/>
      <c r="E983" s="1113"/>
      <c r="F983" s="1113"/>
      <c r="G983" s="1113"/>
      <c r="H983" s="1113"/>
      <c r="I983" s="1113"/>
      <c r="J983" s="1113"/>
      <c r="K983" s="111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13"/>
      <c r="B984" s="1118"/>
      <c r="C984" s="1119"/>
      <c r="D984" s="1113"/>
      <c r="E984" s="1113"/>
      <c r="F984" s="1113"/>
      <c r="G984" s="1113"/>
      <c r="H984" s="1113"/>
      <c r="I984" s="1113"/>
      <c r="J984" s="1113"/>
      <c r="K984" s="111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13"/>
      <c r="B985" s="1118"/>
      <c r="C985" s="1119"/>
      <c r="D985" s="1113"/>
      <c r="E985" s="1113"/>
      <c r="F985" s="1113"/>
      <c r="G985" s="1113"/>
      <c r="H985" s="1113"/>
      <c r="I985" s="1113"/>
      <c r="J985" s="1113"/>
      <c r="K985" s="111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13"/>
      <c r="B986" s="1118"/>
      <c r="C986" s="1119"/>
      <c r="D986" s="1113"/>
      <c r="E986" s="1113"/>
      <c r="F986" s="1113"/>
      <c r="G986" s="1113"/>
      <c r="H986" s="1113"/>
      <c r="I986" s="1113"/>
      <c r="J986" s="1113"/>
      <c r="K986" s="111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13"/>
      <c r="B987" s="1118"/>
      <c r="C987" s="1119"/>
      <c r="D987" s="1113"/>
      <c r="E987" s="1113"/>
      <c r="F987" s="1113"/>
      <c r="G987" s="1113"/>
      <c r="H987" s="1113"/>
      <c r="I987" s="1113"/>
      <c r="J987" s="1113"/>
      <c r="K987" s="111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13"/>
      <c r="B988" s="1118"/>
      <c r="C988" s="1119"/>
      <c r="D988" s="1113"/>
      <c r="E988" s="1113"/>
      <c r="F988" s="1113"/>
      <c r="G988" s="1113"/>
      <c r="H988" s="1113"/>
      <c r="I988" s="1113"/>
      <c r="J988" s="1113"/>
      <c r="K988" s="111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13"/>
      <c r="B989" s="1118"/>
      <c r="C989" s="1119"/>
      <c r="D989" s="1113"/>
      <c r="E989" s="1113"/>
      <c r="F989" s="1113"/>
      <c r="G989" s="1113"/>
      <c r="H989" s="1113"/>
      <c r="I989" s="1113"/>
      <c r="J989" s="1113"/>
      <c r="K989" s="111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13"/>
      <c r="B990" s="1118"/>
      <c r="C990" s="1119"/>
      <c r="D990" s="1113"/>
      <c r="E990" s="1113"/>
      <c r="F990" s="1113"/>
      <c r="G990" s="1113"/>
      <c r="H990" s="1113"/>
      <c r="I990" s="1113"/>
      <c r="J990" s="1113"/>
      <c r="K990" s="111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13"/>
      <c r="B991" s="1118"/>
      <c r="C991" s="1119"/>
      <c r="D991" s="1113"/>
      <c r="E991" s="1113"/>
      <c r="F991" s="1113"/>
      <c r="G991" s="1113"/>
      <c r="H991" s="1113"/>
      <c r="I991" s="1113"/>
      <c r="J991" s="1113"/>
      <c r="K991" s="111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13"/>
      <c r="B992" s="1118"/>
      <c r="C992" s="1119"/>
      <c r="D992" s="1113"/>
      <c r="E992" s="1113"/>
      <c r="F992" s="1113"/>
      <c r="G992" s="1113"/>
      <c r="H992" s="1113"/>
      <c r="I992" s="1113"/>
      <c r="J992" s="1113"/>
      <c r="K992" s="111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13"/>
      <c r="B993" s="1118"/>
      <c r="C993" s="1119"/>
      <c r="D993" s="1113"/>
      <c r="E993" s="1113"/>
      <c r="F993" s="1113"/>
      <c r="G993" s="1113"/>
      <c r="H993" s="1113"/>
      <c r="I993" s="1113"/>
      <c r="J993" s="1113"/>
      <c r="K993" s="111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13"/>
      <c r="B994" s="1118"/>
      <c r="C994" s="1119"/>
      <c r="D994" s="1113"/>
      <c r="E994" s="1113"/>
      <c r="F994" s="1113"/>
      <c r="G994" s="1113"/>
      <c r="H994" s="1113"/>
      <c r="I994" s="1113"/>
      <c r="J994" s="1113"/>
      <c r="K994" s="111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13"/>
      <c r="B995" s="1118"/>
      <c r="C995" s="1119"/>
      <c r="D995" s="1113"/>
      <c r="E995" s="1113"/>
      <c r="F995" s="1113"/>
      <c r="G995" s="1113"/>
      <c r="H995" s="1113"/>
      <c r="I995" s="1113"/>
      <c r="J995" s="1113"/>
      <c r="K995" s="111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13"/>
      <c r="B996" s="1118"/>
      <c r="C996" s="1119"/>
      <c r="D996" s="1113"/>
      <c r="E996" s="1113"/>
      <c r="F996" s="1113"/>
      <c r="G996" s="1113"/>
      <c r="H996" s="1113"/>
      <c r="I996" s="1113"/>
      <c r="J996" s="1113"/>
      <c r="K996" s="111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13"/>
      <c r="B997" s="1118"/>
      <c r="C997" s="1119"/>
      <c r="D997" s="1113"/>
      <c r="E997" s="1113"/>
      <c r="F997" s="1113"/>
      <c r="G997" s="1113"/>
      <c r="H997" s="1113"/>
      <c r="I997" s="1113"/>
      <c r="J997" s="1113"/>
      <c r="K997" s="111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13"/>
      <c r="B998" s="1118"/>
      <c r="C998" s="1119"/>
      <c r="D998" s="1113"/>
      <c r="E998" s="1113"/>
      <c r="F998" s="1113"/>
      <c r="G998" s="1113"/>
      <c r="H998" s="1113"/>
      <c r="I998" s="1113"/>
      <c r="J998" s="1113"/>
      <c r="K998" s="111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13"/>
      <c r="B999" s="1118"/>
      <c r="C999" s="1119"/>
      <c r="D999" s="1113"/>
      <c r="E999" s="1113"/>
      <c r="F999" s="1113"/>
      <c r="G999" s="1113"/>
      <c r="H999" s="1113"/>
      <c r="I999" s="1113"/>
      <c r="J999" s="1113"/>
      <c r="K999" s="111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13"/>
      <c r="B1000" s="1118"/>
      <c r="C1000" s="1119"/>
      <c r="D1000" s="1113"/>
      <c r="E1000" s="1113"/>
      <c r="F1000" s="1113"/>
      <c r="G1000" s="1113"/>
      <c r="H1000" s="1113"/>
      <c r="I1000" s="1113"/>
      <c r="J1000" s="1113"/>
      <c r="K1000" s="111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13"/>
      <c r="B1001" s="1118"/>
      <c r="C1001" s="1119"/>
      <c r="D1001" s="1113"/>
      <c r="E1001" s="1113"/>
      <c r="F1001" s="1113"/>
      <c r="G1001" s="1113"/>
      <c r="H1001" s="1113"/>
      <c r="I1001" s="1113"/>
      <c r="J1001" s="1113"/>
      <c r="K1001" s="111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13"/>
      <c r="B1002" s="1118"/>
      <c r="C1002" s="1119"/>
      <c r="D1002" s="1113"/>
      <c r="E1002" s="1113"/>
      <c r="F1002" s="1113"/>
      <c r="G1002" s="1113"/>
      <c r="H1002" s="1113"/>
      <c r="I1002" s="1113"/>
      <c r="J1002" s="1113"/>
      <c r="K1002" s="111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13"/>
      <c r="B1003" s="1118"/>
      <c r="C1003" s="1119"/>
      <c r="D1003" s="1113"/>
      <c r="E1003" s="1113"/>
      <c r="F1003" s="1113"/>
      <c r="G1003" s="1113"/>
      <c r="H1003" s="1113"/>
      <c r="I1003" s="1113"/>
      <c r="J1003" s="1113"/>
      <c r="K1003" s="111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13"/>
      <c r="B1004" s="1118"/>
      <c r="C1004" s="1119"/>
      <c r="D1004" s="1113"/>
      <c r="E1004" s="1113"/>
      <c r="F1004" s="1113"/>
      <c r="G1004" s="1113"/>
      <c r="H1004" s="1113"/>
      <c r="I1004" s="1113"/>
      <c r="J1004" s="1113"/>
      <c r="K1004" s="111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13"/>
      <c r="B1005" s="1118"/>
      <c r="C1005" s="1119"/>
      <c r="D1005" s="1113"/>
      <c r="E1005" s="1113"/>
      <c r="F1005" s="1113"/>
      <c r="G1005" s="1113"/>
      <c r="H1005" s="1113"/>
      <c r="I1005" s="1113"/>
      <c r="J1005" s="1113"/>
      <c r="K1005" s="111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13"/>
      <c r="B1006" s="1118"/>
      <c r="C1006" s="1119"/>
      <c r="D1006" s="1113"/>
      <c r="E1006" s="1113"/>
      <c r="F1006" s="1113"/>
      <c r="G1006" s="1113"/>
      <c r="H1006" s="1113"/>
      <c r="I1006" s="1113"/>
      <c r="J1006" s="1113"/>
      <c r="K1006" s="111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13"/>
      <c r="B1007" s="1118"/>
      <c r="C1007" s="1119"/>
      <c r="D1007" s="1113"/>
      <c r="E1007" s="1113"/>
      <c r="F1007" s="1113"/>
      <c r="G1007" s="1113"/>
      <c r="H1007" s="1113"/>
      <c r="I1007" s="1113"/>
      <c r="J1007" s="1113"/>
      <c r="K1007" s="111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13"/>
      <c r="B1008" s="1118"/>
      <c r="C1008" s="1119"/>
      <c r="D1008" s="1113"/>
      <c r="E1008" s="1113"/>
      <c r="F1008" s="1113"/>
      <c r="G1008" s="1113"/>
      <c r="H1008" s="1113"/>
      <c r="I1008" s="1113"/>
      <c r="J1008" s="1113"/>
      <c r="K1008" s="111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13"/>
      <c r="B1009" s="1118"/>
      <c r="C1009" s="1119"/>
      <c r="D1009" s="1113"/>
      <c r="E1009" s="1113"/>
      <c r="F1009" s="1113"/>
      <c r="G1009" s="1113"/>
      <c r="H1009" s="1113"/>
      <c r="I1009" s="1113"/>
      <c r="J1009" s="1113"/>
      <c r="K1009" s="111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13"/>
      <c r="B1010" s="1118"/>
      <c r="C1010" s="1119"/>
      <c r="D1010" s="1113"/>
      <c r="E1010" s="1113"/>
      <c r="F1010" s="1113"/>
      <c r="G1010" s="1113"/>
      <c r="H1010" s="1113"/>
      <c r="I1010" s="1113"/>
      <c r="J1010" s="1113"/>
      <c r="K1010" s="111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13"/>
      <c r="B1011" s="1118"/>
      <c r="C1011" s="1119"/>
      <c r="D1011" s="1113"/>
      <c r="E1011" s="1113"/>
      <c r="F1011" s="1113"/>
      <c r="G1011" s="1113"/>
      <c r="H1011" s="1113"/>
      <c r="I1011" s="1113"/>
      <c r="J1011" s="1113"/>
      <c r="K1011" s="111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13"/>
      <c r="B1012" s="1118"/>
      <c r="C1012" s="1119"/>
      <c r="D1012" s="1113"/>
      <c r="E1012" s="1113"/>
      <c r="F1012" s="1113"/>
      <c r="G1012" s="1113"/>
      <c r="H1012" s="1113"/>
      <c r="I1012" s="1113"/>
      <c r="J1012" s="1113"/>
      <c r="K1012" s="111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13"/>
      <c r="B1013" s="1118"/>
      <c r="C1013" s="1119"/>
      <c r="D1013" s="1113"/>
      <c r="E1013" s="1113"/>
      <c r="F1013" s="1113"/>
      <c r="G1013" s="1113"/>
      <c r="H1013" s="1113"/>
      <c r="I1013" s="1113"/>
      <c r="J1013" s="1113"/>
      <c r="K1013" s="111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13"/>
      <c r="B1014" s="1118"/>
      <c r="C1014" s="1119"/>
      <c r="D1014" s="1113"/>
      <c r="E1014" s="1113"/>
      <c r="F1014" s="1113"/>
      <c r="G1014" s="1113"/>
      <c r="H1014" s="1113"/>
      <c r="I1014" s="1113"/>
      <c r="J1014" s="1113"/>
      <c r="K1014" s="111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13"/>
      <c r="B1015" s="1118"/>
      <c r="C1015" s="1119"/>
      <c r="D1015" s="1113"/>
      <c r="E1015" s="1113"/>
      <c r="F1015" s="1113"/>
      <c r="G1015" s="1113"/>
      <c r="H1015" s="1113"/>
      <c r="I1015" s="1113"/>
      <c r="J1015" s="1113"/>
      <c r="K1015" s="111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13"/>
      <c r="B1016" s="1118"/>
      <c r="C1016" s="1119"/>
      <c r="D1016" s="1113"/>
      <c r="E1016" s="1113"/>
      <c r="F1016" s="1113"/>
      <c r="G1016" s="1113"/>
      <c r="H1016" s="1113"/>
      <c r="I1016" s="1113"/>
      <c r="J1016" s="1113"/>
      <c r="K1016" s="111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13"/>
      <c r="B1017" s="1118"/>
      <c r="C1017" s="1119"/>
      <c r="D1017" s="1113"/>
      <c r="E1017" s="1113"/>
      <c r="F1017" s="1113"/>
      <c r="G1017" s="1113"/>
      <c r="H1017" s="1113"/>
      <c r="I1017" s="1113"/>
      <c r="J1017" s="1113"/>
      <c r="K1017" s="111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13"/>
      <c r="B1018" s="1118"/>
      <c r="C1018" s="1119"/>
      <c r="D1018" s="1113"/>
      <c r="E1018" s="1113"/>
      <c r="F1018" s="1113"/>
      <c r="G1018" s="1113"/>
      <c r="H1018" s="1113"/>
      <c r="I1018" s="1113"/>
      <c r="J1018" s="1113"/>
      <c r="K1018" s="111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13"/>
      <c r="B1019" s="1118"/>
      <c r="C1019" s="1119"/>
      <c r="D1019" s="1113"/>
      <c r="E1019" s="1113"/>
      <c r="F1019" s="1113"/>
      <c r="G1019" s="1113"/>
      <c r="H1019" s="1113"/>
      <c r="I1019" s="1113"/>
      <c r="J1019" s="1113"/>
      <c r="K1019" s="111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13"/>
      <c r="B1020" s="1118"/>
      <c r="C1020" s="1119"/>
      <c r="D1020" s="1113"/>
      <c r="E1020" s="1113"/>
      <c r="F1020" s="1113"/>
      <c r="G1020" s="1113"/>
      <c r="H1020" s="1113"/>
      <c r="I1020" s="1113"/>
      <c r="J1020" s="1113"/>
      <c r="K1020" s="111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13"/>
      <c r="B1021" s="1118"/>
      <c r="C1021" s="1119"/>
      <c r="D1021" s="1113"/>
      <c r="E1021" s="1113"/>
      <c r="F1021" s="1113"/>
      <c r="G1021" s="1113"/>
      <c r="H1021" s="1113"/>
      <c r="I1021" s="1113"/>
      <c r="J1021" s="1113"/>
      <c r="K1021" s="111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13"/>
      <c r="B1022" s="1118"/>
      <c r="C1022" s="1119"/>
      <c r="D1022" s="1113"/>
      <c r="E1022" s="1113"/>
      <c r="F1022" s="1113"/>
      <c r="G1022" s="1113"/>
      <c r="H1022" s="1113"/>
      <c r="I1022" s="1113"/>
      <c r="J1022" s="1113"/>
      <c r="K1022" s="111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13"/>
      <c r="B1023" s="1118"/>
      <c r="C1023" s="1119"/>
      <c r="D1023" s="1113"/>
      <c r="E1023" s="1113"/>
      <c r="F1023" s="1113"/>
      <c r="G1023" s="1113"/>
      <c r="H1023" s="1113"/>
      <c r="I1023" s="1113"/>
      <c r="J1023" s="1113"/>
      <c r="K1023" s="111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13"/>
      <c r="B1024" s="1118"/>
      <c r="C1024" s="1119"/>
      <c r="D1024" s="1113"/>
      <c r="E1024" s="1113"/>
      <c r="F1024" s="1113"/>
      <c r="G1024" s="1113"/>
      <c r="H1024" s="1113"/>
      <c r="I1024" s="1113"/>
      <c r="J1024" s="1113"/>
      <c r="K1024" s="111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13"/>
      <c r="B1025" s="1118"/>
      <c r="C1025" s="1119"/>
      <c r="D1025" s="1113"/>
      <c r="E1025" s="1113"/>
      <c r="F1025" s="1113"/>
      <c r="G1025" s="1113"/>
      <c r="H1025" s="1113"/>
      <c r="I1025" s="1113"/>
      <c r="J1025" s="1113"/>
      <c r="K1025" s="111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13"/>
      <c r="B1026" s="1118"/>
      <c r="C1026" s="1119"/>
      <c r="D1026" s="1113"/>
      <c r="E1026" s="1113"/>
      <c r="F1026" s="1113"/>
      <c r="G1026" s="1113"/>
      <c r="H1026" s="1113"/>
      <c r="I1026" s="1113"/>
      <c r="J1026" s="1113"/>
      <c r="K1026" s="111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13"/>
      <c r="B1027" s="1118"/>
      <c r="C1027" s="1119"/>
      <c r="D1027" s="1113"/>
      <c r="E1027" s="1113"/>
      <c r="F1027" s="1113"/>
      <c r="G1027" s="1113"/>
      <c r="H1027" s="1113"/>
      <c r="I1027" s="1113"/>
      <c r="J1027" s="1113"/>
      <c r="K1027" s="111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13"/>
      <c r="B1028" s="1118"/>
      <c r="C1028" s="1119"/>
      <c r="D1028" s="1113"/>
      <c r="E1028" s="1113"/>
      <c r="F1028" s="1113"/>
      <c r="G1028" s="1113"/>
      <c r="H1028" s="1113"/>
      <c r="I1028" s="1113"/>
      <c r="J1028" s="1113"/>
      <c r="K1028" s="111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13"/>
      <c r="B1029" s="1118"/>
      <c r="C1029" s="1119"/>
      <c r="D1029" s="1113"/>
      <c r="E1029" s="1113"/>
      <c r="F1029" s="1113"/>
      <c r="G1029" s="1113"/>
      <c r="H1029" s="1113"/>
      <c r="I1029" s="1113"/>
      <c r="J1029" s="1113"/>
      <c r="K1029" s="111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13"/>
      <c r="B1030" s="1118"/>
      <c r="C1030" s="1119"/>
      <c r="D1030" s="1113"/>
      <c r="E1030" s="1113"/>
      <c r="F1030" s="1113"/>
      <c r="G1030" s="1113"/>
      <c r="H1030" s="1113"/>
      <c r="I1030" s="1113"/>
      <c r="J1030" s="1113"/>
      <c r="K1030" s="111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13"/>
      <c r="B1031" s="1118"/>
      <c r="C1031" s="1119"/>
      <c r="D1031" s="1113"/>
      <c r="E1031" s="1113"/>
      <c r="F1031" s="1113"/>
      <c r="G1031" s="1113"/>
      <c r="H1031" s="1113"/>
      <c r="I1031" s="1113"/>
      <c r="J1031" s="1113"/>
      <c r="K1031" s="111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13"/>
      <c r="B1032" s="1118"/>
      <c r="C1032" s="1119"/>
      <c r="D1032" s="1113"/>
      <c r="E1032" s="1113"/>
      <c r="F1032" s="1113"/>
      <c r="G1032" s="1113"/>
      <c r="H1032" s="1113"/>
      <c r="I1032" s="1113"/>
      <c r="J1032" s="1113"/>
      <c r="K1032" s="111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13"/>
      <c r="B1033" s="1118"/>
      <c r="C1033" s="1119"/>
      <c r="D1033" s="1113"/>
      <c r="E1033" s="1113"/>
      <c r="F1033" s="1113"/>
      <c r="G1033" s="1113"/>
      <c r="H1033" s="1113"/>
      <c r="I1033" s="1113"/>
      <c r="J1033" s="1113"/>
      <c r="K1033" s="111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13"/>
      <c r="B1034" s="1118"/>
      <c r="C1034" s="1119"/>
      <c r="D1034" s="1113"/>
      <c r="E1034" s="1113"/>
      <c r="F1034" s="1113"/>
      <c r="G1034" s="1113"/>
      <c r="H1034" s="1113"/>
      <c r="I1034" s="1113"/>
      <c r="J1034" s="1113"/>
      <c r="K1034" s="111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13"/>
      <c r="B1035" s="1118"/>
      <c r="C1035" s="1119"/>
      <c r="D1035" s="1113"/>
      <c r="E1035" s="1113"/>
      <c r="F1035" s="1113"/>
      <c r="G1035" s="1113"/>
      <c r="H1035" s="1113"/>
      <c r="I1035" s="1113"/>
      <c r="J1035" s="1113"/>
      <c r="K1035" s="111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13"/>
      <c r="B1036" s="1118"/>
      <c r="C1036" s="1119"/>
      <c r="D1036" s="1113"/>
      <c r="E1036" s="1113"/>
      <c r="F1036" s="1113"/>
      <c r="G1036" s="1113"/>
      <c r="H1036" s="1113"/>
      <c r="I1036" s="1113"/>
      <c r="J1036" s="1113"/>
      <c r="K1036" s="111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13"/>
      <c r="B1037" s="1118"/>
      <c r="C1037" s="1119"/>
      <c r="D1037" s="1113"/>
      <c r="E1037" s="1113"/>
      <c r="F1037" s="1113"/>
      <c r="G1037" s="1113"/>
      <c r="H1037" s="1113"/>
      <c r="I1037" s="1113"/>
      <c r="J1037" s="1113"/>
      <c r="K1037" s="111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13"/>
      <c r="B1038" s="1118"/>
      <c r="C1038" s="1119"/>
      <c r="D1038" s="1113"/>
      <c r="E1038" s="1113"/>
      <c r="F1038" s="1113"/>
      <c r="G1038" s="1113"/>
      <c r="H1038" s="1113"/>
      <c r="I1038" s="1113"/>
      <c r="J1038" s="1113"/>
      <c r="K1038" s="111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13"/>
      <c r="B1039" s="1118"/>
      <c r="C1039" s="1119"/>
      <c r="D1039" s="1113"/>
      <c r="E1039" s="1113"/>
      <c r="F1039" s="1113"/>
      <c r="G1039" s="1113"/>
      <c r="H1039" s="1113"/>
      <c r="I1039" s="1113"/>
      <c r="J1039" s="1113"/>
      <c r="K1039" s="111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13"/>
      <c r="B1040" s="1118"/>
      <c r="C1040" s="1119"/>
      <c r="D1040" s="1113"/>
      <c r="E1040" s="1113"/>
      <c r="F1040" s="1113"/>
      <c r="G1040" s="1113"/>
      <c r="H1040" s="1113"/>
      <c r="I1040" s="1113"/>
      <c r="J1040" s="1113"/>
      <c r="K1040" s="111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13"/>
      <c r="B1041" s="1118"/>
      <c r="C1041" s="1119"/>
      <c r="D1041" s="1113"/>
      <c r="E1041" s="1113"/>
      <c r="F1041" s="1113"/>
      <c r="G1041" s="1113"/>
      <c r="H1041" s="1113"/>
      <c r="I1041" s="1113"/>
      <c r="J1041" s="1113"/>
      <c r="K1041" s="111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13"/>
      <c r="B1042" s="1118"/>
      <c r="C1042" s="1119"/>
      <c r="D1042" s="1113"/>
      <c r="E1042" s="1113"/>
      <c r="F1042" s="1113"/>
      <c r="G1042" s="1113"/>
      <c r="H1042" s="1113"/>
      <c r="I1042" s="1113"/>
      <c r="J1042" s="1113"/>
      <c r="K1042" s="111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13"/>
      <c r="B1043" s="1118"/>
      <c r="C1043" s="1119"/>
      <c r="D1043" s="1113"/>
      <c r="E1043" s="1113"/>
      <c r="F1043" s="1113"/>
      <c r="G1043" s="1113"/>
      <c r="H1043" s="1113"/>
      <c r="I1043" s="1113"/>
      <c r="J1043" s="1113"/>
      <c r="K1043" s="111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13"/>
      <c r="B1044" s="1118"/>
      <c r="C1044" s="1119"/>
      <c r="D1044" s="1113"/>
      <c r="E1044" s="1113"/>
      <c r="F1044" s="1113"/>
      <c r="G1044" s="1113"/>
      <c r="H1044" s="1113"/>
      <c r="I1044" s="1113"/>
      <c r="J1044" s="1113"/>
      <c r="K1044" s="111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13"/>
      <c r="B1045" s="1118"/>
      <c r="C1045" s="1119"/>
      <c r="D1045" s="1113"/>
      <c r="E1045" s="1113"/>
      <c r="F1045" s="1113"/>
      <c r="G1045" s="1113"/>
      <c r="H1045" s="1113"/>
      <c r="I1045" s="1113"/>
      <c r="J1045" s="1113"/>
      <c r="K1045" s="111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13"/>
      <c r="B1046" s="1118"/>
      <c r="C1046" s="1119"/>
      <c r="D1046" s="1113"/>
      <c r="E1046" s="1113"/>
      <c r="F1046" s="1113"/>
      <c r="G1046" s="1113"/>
      <c r="H1046" s="1113"/>
      <c r="I1046" s="1113"/>
      <c r="J1046" s="1113"/>
      <c r="K1046" s="111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13"/>
      <c r="B1047" s="1118"/>
      <c r="C1047" s="1119"/>
      <c r="D1047" s="1113"/>
      <c r="E1047" s="1113"/>
      <c r="F1047" s="1113"/>
      <c r="G1047" s="1113"/>
      <c r="H1047" s="1113"/>
      <c r="I1047" s="1113"/>
      <c r="J1047" s="1113"/>
      <c r="K1047" s="111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13"/>
      <c r="B1048" s="1118"/>
      <c r="C1048" s="1119"/>
      <c r="D1048" s="1113"/>
      <c r="E1048" s="1113"/>
      <c r="F1048" s="1113"/>
      <c r="G1048" s="1113"/>
      <c r="H1048" s="1113"/>
      <c r="I1048" s="1113"/>
      <c r="J1048" s="1113"/>
      <c r="K1048" s="111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13"/>
      <c r="B1049" s="1118"/>
      <c r="C1049" s="1119"/>
      <c r="D1049" s="1113"/>
      <c r="E1049" s="1113"/>
      <c r="F1049" s="1113"/>
      <c r="G1049" s="1113"/>
      <c r="H1049" s="1113"/>
      <c r="I1049" s="1113"/>
      <c r="J1049" s="1113"/>
      <c r="K1049" s="111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13"/>
      <c r="B1050" s="1118"/>
      <c r="C1050" s="1119"/>
      <c r="D1050" s="1113"/>
      <c r="E1050" s="1113"/>
      <c r="F1050" s="1113"/>
      <c r="G1050" s="1113"/>
      <c r="H1050" s="1113"/>
      <c r="I1050" s="1113"/>
      <c r="J1050" s="1113"/>
      <c r="K1050" s="111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13"/>
      <c r="B1051" s="1118"/>
      <c r="C1051" s="1119"/>
      <c r="D1051" s="1113"/>
      <c r="E1051" s="1113"/>
      <c r="F1051" s="1113"/>
      <c r="G1051" s="1113"/>
      <c r="H1051" s="1113"/>
      <c r="I1051" s="1113"/>
      <c r="J1051" s="1113"/>
      <c r="K1051" s="111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13"/>
      <c r="B1052" s="1118"/>
      <c r="C1052" s="1119"/>
      <c r="D1052" s="1113"/>
      <c r="E1052" s="1113"/>
      <c r="F1052" s="1113"/>
      <c r="G1052" s="1113"/>
      <c r="H1052" s="1113"/>
      <c r="I1052" s="1113"/>
      <c r="J1052" s="1113"/>
      <c r="K1052" s="111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13"/>
      <c r="B1053" s="1118"/>
      <c r="C1053" s="1119"/>
      <c r="D1053" s="1113"/>
      <c r="E1053" s="1113"/>
      <c r="F1053" s="1113"/>
      <c r="G1053" s="1113"/>
      <c r="H1053" s="1113"/>
      <c r="I1053" s="1113"/>
      <c r="J1053" s="1113"/>
      <c r="K1053" s="111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13"/>
      <c r="B1054" s="1118"/>
      <c r="C1054" s="1119"/>
      <c r="D1054" s="1113"/>
      <c r="E1054" s="1113"/>
      <c r="F1054" s="1113"/>
      <c r="G1054" s="1113"/>
      <c r="H1054" s="1113"/>
      <c r="I1054" s="1113"/>
      <c r="J1054" s="1113"/>
      <c r="K1054" s="111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13"/>
      <c r="B1055" s="1118"/>
      <c r="C1055" s="1119"/>
      <c r="D1055" s="1113"/>
      <c r="E1055" s="1113"/>
      <c r="F1055" s="1113"/>
      <c r="G1055" s="1113"/>
      <c r="H1055" s="1113"/>
      <c r="I1055" s="1113"/>
      <c r="J1055" s="1113"/>
      <c r="K1055" s="111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sortState ref="A2:D864">
      <sortCondition ref="A1"/>
    </sortState>
  </autoFilter>
  <dataValidations count="3">
    <dataValidation type="list" allowBlank="1" showErrorMessage="1" sqref="D1:D860">
      <formula1>$L$1:$L$140</formula1>
    </dataValidation>
    <dataValidation type="list" allowBlank="1" showErrorMessage="1" sqref="C2:C912">
      <formula1>$J$1:$J$11</formula1>
    </dataValidation>
    <dataValidation type="list" allowBlank="1" showErrorMessage="1" sqref="D861:D912">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2022-06-13T12:21:52Z</cp:lastPrinted>
  <dcterms:created xsi:type="dcterms:W3CDTF">2020-10-20T13:57:48Z</dcterms:created>
  <dcterms:modified xsi:type="dcterms:W3CDTF">2022-06-29T13:27:41Z</dcterms:modified>
</cp:coreProperties>
</file>