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11"/>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Q68" i="3" l="1"/>
  <c r="AL456" i="3"/>
  <c r="AL492" i="17"/>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I17" i="24" l="1"/>
  <c r="D17" i="24"/>
  <c r="T16"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F76" i="19" l="1"/>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<sst xmlns="http://schemas.openxmlformats.org/spreadsheetml/2006/main" count="14132" uniqueCount="3614">
  <si>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</si>
  <si>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</si>
  <si>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</si>
  <si>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</si>
  <si>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</si>
  <si>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</si>
  <si>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</si>
  <si>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</si>
  <si>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</si>
  <si>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</si>
  <si>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</si>
  <si>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</si>
  <si>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</si>
  <si>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</si>
  <si>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</si>
  <si>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</si>
  <si>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</si>
  <si>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</si>
  <si>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</si>
  <si>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</si>
  <si>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</si>
  <si>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</si>
  <si>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</si>
  <si>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</si>
  <si>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</si>
  <si>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</si>
  <si>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</si>
  <si>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</si>
  <si>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</si>
  <si>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</si>
  <si>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</si>
  <si>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</si>
  <si>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</si>
  <si>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</si>
  <si>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</si>
  <si>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</si>
  <si>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</si>
  <si>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</si>
  <si>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</si>
  <si>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</si>
  <si>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</si>
  <si>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</si>
  <si>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</si>
  <si>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</si>
  <si>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</si>
  <si>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</si>
  <si>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</si>
  <si>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</si>
  <si>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</si>
  <si>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</si>
  <si>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</si>
  <si>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</si>
  <si>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</si>
  <si>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</si>
  <si>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</si>
  <si>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</si>
  <si>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</si>
  <si>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</si>
  <si>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</si>
  <si>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</si>
  <si>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</si>
  <si>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</si>
  <si>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</si>
  <si>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</si>
  <si>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</si>
  <si>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</si>
  <si>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</si>
  <si>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</si>
  <si>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</si>
  <si>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</si>
  <si>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</si>
  <si>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</si>
  <si>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</si>
  <si>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</si>
  <si>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</si>
  <si>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</si>
  <si>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</si>
  <si>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</si>
  <si>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</si>
  <si>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</si>
  <si>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</si>
  <si>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</si>
  <si>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</si>
  <si>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</si>
  <si>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</si>
  <si>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</si>
  <si>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</si>
  <si>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</si>
  <si>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</si>
  <si>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</si>
  <si>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</si>
  <si>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</si>
  <si>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</si>
  <si>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</si>
  <si>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</si>
  <si>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</si>
  <si>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</si>
  <si>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</si>
  <si>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</si>
  <si>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</si>
  <si>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</si>
  <si>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</si>
  <si>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</si>
  <si>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</si>
  <si>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</si>
  <si>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</si>
  <si>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</si>
  <si>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</si>
  <si>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</si>
  <si>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</si>
  <si>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</si>
  <si>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</si>
  <si>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</si>
  <si>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</si>
  <si>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</si>
  <si>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</si>
  <si>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</si>
  <si>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</si>
  <si>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</si>
  <si>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</si>
  <si>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</si>
  <si>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</si>
  <si>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</si>
  <si>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</si>
  <si>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</si>
  <si>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</si>
  <si>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</si>
  <si>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</si>
  <si>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</si>
  <si>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</si>
  <si>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</si>
  <si>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</si>
  <si>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</si>
  <si>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</si>
  <si>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</si>
  <si>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</si>
  <si>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</si>
  <si>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</si>
  <si>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</si>
  <si>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</si>
  <si>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</si>
  <si>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</si>
  <si>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</si>
  <si>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</si>
  <si>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</si>
  <si>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</si>
  <si>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</si>
  <si>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</si>
  <si>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</si>
  <si>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</si>
  <si>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</si>
  <si>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</si>
  <si>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</si>
  <si>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</si>
  <si>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</si>
  <si>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</si>
  <si>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</si>
  <si>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</si>
  <si>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</si>
  <si>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</si>
  <si>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</si>
  <si>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</si>
  <si>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</si>
  <si>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</si>
  <si>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</si>
  <si>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</si>
  <si>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</si>
  <si>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</si>
  <si>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</si>
  <si>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</si>
  <si>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</si>
  <si>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</si>
  <si>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</si>
  <si>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</si>
  <si>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</si>
  <si>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</si>
  <si>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</si>
  <si>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</si>
  <si>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</si>
  <si>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</si>
  <si>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</si>
  <si>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</si>
  <si>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</si>
  <si>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</si>
  <si>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</si>
  <si>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</si>
  <si>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</si>
  <si>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</si>
  <si>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</si>
  <si>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</si>
  <si>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</si>
  <si>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</si>
  <si>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</si>
  <si>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</si>
  <si>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</si>
  <si>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</si>
  <si>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</si>
  <si>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</si>
  <si>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</si>
  <si>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</si>
  <si>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</si>
  <si>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</si>
  <si>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</si>
  <si>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</si>
  <si>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</si>
  <si>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</si>
  <si>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</si>
  <si>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</si>
  <si>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</si>
  <si>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</si>
  <si>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</si>
  <si>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</si>
  <si>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</si>
  <si>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</si>
  <si>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</si>
  <si>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</si>
  <si>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</si>
  <si>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</si>
  <si>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</si>
  <si>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</si>
  <si>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</si>
  <si>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</si>
  <si>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</si>
  <si>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</si>
  <si>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</si>
  <si>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</si>
  <si>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</si>
  <si>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</si>
  <si>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</si>
  <si>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</si>
  <si>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</si>
  <si>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</si>
  <si>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</si>
  <si>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</si>
  <si>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</si>
  <si>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</si>
  <si>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</si>
  <si>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</si>
  <si>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</si>
  <si>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</si>
  <si>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</si>
  <si>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</si>
  <si>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</si>
  <si>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</si>
  <si>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</si>
  <si>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</si>
  <si>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</si>
  <si>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</si>
  <si>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</si>
  <si>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</si>
  <si>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</si>
  <si>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</si>
  <si>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</si>
  <si>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</si>
  <si>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</si>
  <si>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</si>
  <si>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</si>
  <si>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</si>
  <si>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</si>
  <si>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</si>
  <si>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</si>
  <si>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</si>
  <si>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</si>
  <si>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</si>
  <si>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</si>
  <si>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</si>
  <si>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</si>
  <si>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</si>
  <si>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</si>
  <si>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</si>
  <si>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</si>
  <si>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</si>
  <si>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</si>
  <si>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</si>
  <si>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</si>
  <si>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</si>
  <si>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</si>
  <si>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</si>
  <si>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</si>
  <si>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</si>
  <si>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</si>
  <si>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</si>
  <si>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</si>
  <si>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</si>
  <si>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</si>
  <si>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</si>
  <si>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</si>
  <si>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</si>
  <si>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</si>
  <si>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</si>
  <si>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</si>
  <si>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</si>
  <si>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</si>
  <si>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</si>
  <si>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</si>
  <si>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</si>
  <si>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</si>
  <si>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</si>
  <si>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</si>
  <si>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</si>
  <si>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</si>
  <si>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</si>
  <si>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</si>
  <si>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</si>
  <si>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</si>
  <si>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</si>
  <si>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</si>
  <si>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</si>
  <si>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</si>
  <si>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</si>
  <si>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</si>
  <si>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</si>
  <si>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</si>
  <si>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</si>
  <si>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</si>
  <si>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</si>
  <si>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</si>
  <si>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</si>
  <si>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</si>
  <si>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</si>
  <si>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</si>
  <si>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</si>
  <si>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</si>
  <si>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</si>
  <si>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</si>
  <si>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</si>
  <si>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</si>
  <si>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</si>
  <si>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</si>
  <si>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</si>
  <si>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</si>
  <si>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</si>
  <si>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</si>
  <si>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</si>
  <si>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</si>
  <si>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</si>
  <si>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</si>
  <si>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</si>
  <si>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</si>
  <si>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</si>
  <si>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</si>
  <si>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</si>
  <si>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</si>
  <si>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</si>
  <si>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</si>
  <si>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</si>
  <si>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</si>
  <si>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</si>
  <si>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</si>
  <si>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</si>
  <si>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</si>
  <si>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</si>
  <si>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</si>
  <si>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</si>
  <si>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</si>
  <si>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</si>
  <si>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</si>
  <si>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</si>
  <si>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</si>
  <si>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</si>
  <si>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</si>
  <si>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</si>
  <si>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</si>
  <si>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</si>
  <si>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</si>
  <si>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</si>
  <si>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</si>
  <si>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</si>
  <si>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</si>
  <si>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</si>
  <si>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</si>
  <si>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</si>
  <si>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</si>
  <si>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</si>
  <si>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</si>
  <si>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</si>
  <si>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</si>
  <si>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</si>
  <si>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</si>
  <si>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</si>
  <si>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</si>
  <si>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</si>
  <si>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</si>
  <si>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</si>
  <si>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</si>
  <si>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</si>
  <si>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</si>
  <si>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</si>
  <si>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</si>
  <si>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</si>
  <si>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</si>
  <si>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</si>
  <si>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</si>
  <si>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</si>
  <si>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</si>
  <si>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</si>
  <si>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</si>
  <si>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</si>
  <si>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</si>
  <si>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</si>
  <si>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</si>
  <si>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</si>
  <si>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</si>
  <si>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</si>
  <si>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</si>
  <si>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</si>
  <si>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</si>
  <si>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</si>
  <si>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</si>
  <si>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</si>
  <si>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</si>
  <si>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</si>
  <si>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</si>
  <si>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</si>
  <si>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</si>
  <si>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</si>
  <si>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</si>
  <si>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</si>
  <si>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</si>
  <si>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</si>
  <si>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</si>
  <si>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</si>
  <si>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</si>
  <si>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</si>
  <si>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</si>
  <si>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</si>
  <si>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</si>
  <si>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</si>
  <si>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</si>
  <si>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</si>
  <si>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</si>
  <si>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</si>
  <si>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</si>
  <si>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</si>
  <si>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</si>
  <si>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</si>
  <si>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</si>
  <si>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</si>
  <si>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</si>
  <si>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</si>
  <si>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</si>
  <si>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</si>
  <si>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</si>
  <si>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</si>
  <si>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</si>
  <si>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</si>
  <si>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</si>
  <si>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</si>
  <si>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</si>
  <si>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</si>
  <si>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</si>
  <si>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</si>
  <si>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</si>
  <si>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</si>
  <si>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</si>
  <si>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</si>
  <si>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</si>
  <si>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</si>
  <si>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</si>
  <si>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</si>
  <si>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</si>
  <si>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</si>
  <si>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</si>
  <si>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</si>
  <si>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</si>
  <si>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</si>
  <si>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</si>
  <si>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</si>
  <si>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</si>
  <si>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</si>
  <si>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</si>
  <si>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</si>
  <si>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</si>
  <si>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</si>
  <si>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</si>
  <si>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</si>
  <si>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</si>
  <si>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</si>
  <si>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</si>
  <si>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</si>
  <si>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</si>
  <si>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</si>
  <si>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</si>
  <si>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</si>
  <si>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</si>
  <si>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</si>
  <si>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</si>
  <si>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</si>
  <si>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</si>
  <si>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</si>
  <si>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</si>
  <si>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</si>
  <si>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</si>
  <si>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</si>
  <si>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</si>
  <si>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</si>
  <si>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</si>
  <si>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</si>
  <si>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</si>
  <si>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</si>
  <si>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</si>
  <si>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</si>
  <si>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</si>
  <si>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</si>
  <si>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</si>
  <si>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</si>
  <si>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</si>
  <si>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</si>
  <si>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</si>
  <si>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</si>
  <si>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</si>
  <si>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</si>
  <si>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</si>
  <si>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</si>
  <si>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</si>
  <si>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</si>
  <si>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</si>
  <si>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</si>
  <si>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</si>
  <si>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</si>
  <si>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</si>
  <si>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</si>
  <si>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</si>
  <si>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</si>
  <si>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</si>
  <si>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</si>
  <si>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</si>
  <si>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</si>
  <si>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</si>
  <si>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</si>
  <si>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</si>
  <si>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</si>
  <si>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</si>
  <si>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</si>
  <si>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</si>
  <si>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</si>
  <si>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</si>
  <si>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</si>
  <si>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</si>
  <si>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</si>
  <si>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</si>
  <si>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</si>
  <si>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</si>
  <si>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</si>
  <si>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</si>
  <si>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</si>
  <si>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</si>
  <si>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</si>
  <si>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</si>
  <si>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</si>
  <si>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</si>
  <si>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</si>
  <si>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</si>
  <si>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</si>
  <si>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</si>
  <si>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</si>
  <si>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</si>
  <si>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</si>
  <si>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</si>
  <si>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</si>
  <si>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</si>
  <si>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</si>
  <si>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</si>
  <si>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</si>
  <si>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</si>
  <si>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</si>
  <si>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</si>
  <si>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</si>
  <si>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</si>
  <si>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</si>
  <si>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</si>
  <si>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</si>
  <si>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</si>
  <si>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</si>
  <si>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</si>
  <si>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</si>
  <si>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</si>
  <si>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</si>
  <si>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</si>
  <si>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</si>
  <si>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</si>
  <si>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</si>
  <si>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</si>
  <si>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</si>
  <si>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</si>
  <si>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</si>
  <si>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</si>
  <si>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</si>
  <si>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</si>
  <si>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</si>
  <si>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</si>
  <si>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</si>
  <si>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</si>
  <si>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</si>
  <si>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</si>
  <si>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</si>
  <si>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</si>
  <si>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</si>
  <si>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</si>
  <si>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</si>
  <si>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</si>
  <si>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</si>
  <si>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</si>
  <si>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</si>
  <si>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</si>
  <si>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</si>
  <si>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</si>
  <si>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</si>
  <si>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</si>
  <si>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</si>
  <si>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</si>
  <si>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</si>
  <si>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</si>
  <si>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</si>
  <si>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</si>
  <si>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</si>
  <si>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</si>
  <si>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</si>
  <si>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</si>
  <si>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</si>
  <si>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</si>
  <si>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</si>
  <si>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</si>
  <si>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</si>
  <si>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</si>
  <si>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</si>
  <si>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</si>
  <si>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</si>
  <si>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</si>
  <si>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</si>
  <si>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</si>
  <si>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</si>
  <si>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</si>
  <si>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</si>
  <si>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</si>
  <si>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</si>
  <si>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</si>
  <si>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</si>
  <si>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</si>
  <si>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</si>
  <si>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</si>
  <si>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</si>
  <si>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</si>
  <si>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</si>
  <si>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</si>
  <si>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</si>
  <si>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</si>
  <si>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</si>
  <si>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</si>
  <si>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</si>
  <si>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</si>
  <si>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</si>
  <si>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</si>
  <si>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</si>
  <si>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</si>
  <si>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</si>
  <si>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</si>
  <si>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</si>
  <si>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</si>
  <si>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</si>
  <si>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</si>
  <si>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</si>
  <si>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</si>
  <si>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</si>
  <si>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</si>
  <si>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</si>
  <si>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</si>
  <si>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</si>
  <si>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</si>
  <si>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</si>
  <si>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</si>
  <si>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</si>
  <si>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</si>
  <si>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</si>
  <si>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</si>
  <si>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</si>
  <si>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</si>
  <si>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</si>
  <si>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</si>
  <si>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</si>
  <si>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</si>
  <si>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</si>
  <si>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</si>
  <si>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</si>
  <si>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</si>
  <si>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</si>
  <si>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</si>
  <si>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</si>
  <si>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</si>
  <si>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</si>
  <si>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</si>
  <si>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</si>
  <si>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</si>
  <si>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</si>
  <si>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</si>
  <si>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</si>
  <si>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</si>
  <si>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</si>
  <si>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</si>
  <si>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</si>
  <si>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</si>
  <si>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</si>
  <si>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</si>
  <si>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</si>
  <si>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</si>
  <si>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</si>
  <si>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</si>
  <si>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</si>
  <si>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</si>
  <si>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</si>
  <si>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</si>
  <si>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</si>
  <si>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</si>
  <si>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</si>
  <si>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</si>
  <si>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</si>
  <si>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</si>
  <si>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</si>
  <si>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</si>
  <si>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</si>
  <si>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</si>
  <si>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</si>
  <si>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</si>
  <si>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</si>
  <si>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</si>
  <si>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</si>
  <si>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</si>
  <si>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</si>
  <si>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</si>
  <si>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</si>
  <si>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</si>
  <si>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</si>
  <si>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</si>
  <si>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</si>
  <si>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</si>
  <si>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</si>
  <si>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</si>
  <si>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</si>
  <si>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</si>
  <si>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</si>
  <si>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</si>
  <si>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</si>
  <si>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</si>
  <si>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</si>
  <si>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</si>
  <si>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</si>
  <si>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</si>
  <si>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</si>
  <si>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</si>
  <si>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</si>
  <si>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</si>
  <si>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</si>
  <si>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</si>
  <si>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</si>
  <si>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</si>
  <si>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</si>
  <si>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</si>
  <si>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</si>
  <si>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</si>
  <si>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</si>
  <si>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</si>
  <si>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</si>
  <si>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</si>
  <si>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</si>
  <si>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</si>
  <si>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</si>
  <si>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</si>
  <si>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</si>
  <si>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</si>
  <si>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</si>
  <si>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</si>
  <si>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</si>
  <si>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</si>
  <si>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</si>
  <si>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</si>
  <si>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</si>
  <si>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</si>
  <si>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</si>
  <si>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</si>
  <si>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</si>
  <si>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</si>
  <si>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</si>
  <si>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</si>
  <si>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</si>
  <si>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</si>
  <si>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</si>
  <si>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</si>
  <si>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</si>
  <si>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</si>
  <si>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</si>
  <si>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</si>
  <si>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</si>
  <si>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</si>
  <si>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</si>
  <si>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</si>
  <si>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</si>
  <si>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</si>
  <si>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</si>
  <si>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</si>
  <si>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</si>
  <si>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</si>
  <si>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</si>
  <si>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</si>
  <si>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</si>
  <si>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</si>
  <si>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</si>
  <si>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</si>
  <si>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</si>
  <si>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</si>
  <si>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</si>
  <si>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</si>
  <si>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</si>
  <si>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</si>
  <si>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</si>
  <si>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</si>
  <si>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</si>
  <si>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</si>
  <si>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</si>
  <si>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</si>
  <si>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</si>
  <si>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</si>
  <si>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</si>
  <si>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</si>
  <si>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</si>
  <si>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</si>
  <si>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</si>
  <si>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</si>
  <si>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</si>
  <si>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</si>
  <si>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</si>
  <si>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</si>
  <si>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</si>
  <si>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</si>
  <si>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</si>
  <si>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</si>
  <si>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</si>
  <si>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</si>
  <si>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</si>
  <si>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</si>
  <si>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</si>
  <si>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</si>
  <si>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</si>
  <si>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</si>
  <si>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</si>
  <si>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</si>
  <si>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</si>
  <si>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</si>
  <si>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</si>
  <si>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</si>
  <si>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</si>
  <si>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</si>
  <si>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</si>
  <si>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</si>
  <si>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</si>
  <si>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</si>
  <si>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</si>
  <si>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</si>
  <si>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</si>
  <si>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</si>
  <si>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</si>
  <si>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</si>
  <si>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</si>
  <si>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</si>
  <si>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</si>
  <si>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</si>
  <si>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</si>
  <si>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</si>
  <si>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</si>
  <si>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</si>
  <si>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</si>
  <si>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</si>
  <si>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</si>
  <si>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</si>
  <si>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</si>
  <si>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</si>
  <si>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</si>
  <si>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</si>
  <si>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</si>
  <si>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</si>
  <si>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</si>
  <si>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</si>
  <si>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</si>
  <si>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</si>
  <si>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</si>
  <si>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</si>
  <si>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</si>
  <si>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</si>
  <si>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</si>
  <si>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</si>
  <si>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</si>
  <si>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</si>
  <si>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</si>
  <si>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</si>
  <si>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</si>
  <si>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</si>
  <si>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</si>
  <si>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</si>
  <si>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</si>
  <si>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</si>
  <si>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</si>
  <si>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</si>
  <si>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</si>
  <si>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</si>
  <si>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</si>
  <si>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</si>
  <si>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</si>
  <si>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</si>
  <si>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</si>
  <si>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</si>
  <si>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</si>
  <si>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</si>
  <si>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</si>
  <si>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</si>
  <si>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</si>
  <si>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</si>
  <si>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</si>
  <si>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</si>
  <si>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</si>
  <si>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</si>
  <si>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</si>
  <si>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</si>
  <si>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</si>
  <si>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</si>
  <si>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</si>
  <si>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</si>
  <si>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</si>
  <si>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</si>
  <si>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</si>
  <si>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</si>
  <si>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</si>
  <si>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</si>
  <si>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</si>
  <si>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</si>
  <si>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</si>
  <si>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</si>
  <si>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</si>
  <si>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</si>
  <si>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</si>
  <si>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</si>
  <si>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</si>
  <si>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</si>
  <si>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</si>
  <si>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</si>
  <si>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</si>
  <si>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</si>
  <si>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</si>
  <si>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</si>
  <si>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</si>
  <si>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</si>
  <si>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</si>
  <si>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</si>
  <si>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</si>
  <si>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</si>
  <si>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</si>
  <si>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</si>
  <si>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</si>
  <si>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</si>
  <si>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</si>
  <si>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</si>
  <si>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</si>
  <si>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</si>
  <si>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</si>
  <si>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</si>
  <si>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</si>
  <si>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</si>
  <si>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</si>
  <si>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</si>
  <si>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</si>
  <si>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</si>
  <si>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</si>
  <si>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</si>
  <si>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</si>
  <si>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</si>
  <si>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</si>
  <si>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</si>
  <si>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</si>
  <si>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</si>
  <si>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</si>
  <si>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</si>
  <si>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</si>
  <si>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</si>
  <si>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</si>
  <si>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</si>
  <si>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</si>
  <si>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</si>
  <si>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</si>
  <si>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</si>
  <si>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</si>
  <si>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</si>
  <si>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</si>
  <si>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</si>
  <si>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</si>
  <si>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</si>
  <si>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</si>
  <si>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</si>
  <si>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</si>
  <si>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</si>
  <si>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</si>
  <si>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</si>
  <si>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</si>
  <si>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</si>
  <si>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</si>
  <si>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</si>
  <si>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</si>
  <si>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</si>
  <si>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</si>
  <si>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</si>
  <si>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</si>
  <si>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</si>
  <si>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</si>
  <si>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</si>
  <si>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</si>
  <si>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</si>
  <si>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</si>
  <si>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</si>
  <si>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</si>
  <si>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</si>
  <si>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</si>
  <si>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</si>
  <si>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</si>
  <si>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</si>
  <si>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</si>
  <si>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</si>
  <si>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</si>
  <si>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</si>
  <si>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</si>
  <si>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</si>
  <si>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</si>
  <si>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</si>
  <si>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</si>
  <si>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</si>
  <si>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</si>
  <si>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</si>
  <si>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</si>
  <si>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</si>
  <si>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</si>
  <si>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</si>
  <si>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</si>
  <si>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</si>
  <si>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</si>
  <si>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</si>
  <si>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</si>
  <si>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</si>
  <si>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</si>
  <si>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</si>
  <si>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</si>
  <si>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</si>
  <si>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</si>
  <si>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</si>
  <si>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</si>
  <si>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</si>
  <si>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</si>
  <si>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</si>
  <si>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</si>
  <si>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</si>
  <si>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</si>
  <si>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</si>
  <si>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</si>
  <si>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</si>
  <si>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</si>
  <si>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</si>
  <si>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</si>
  <si>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</si>
  <si>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</si>
  <si>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</si>
  <si>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</si>
  <si>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</si>
  <si>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</si>
  <si>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</si>
  <si>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</si>
  <si>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</si>
  <si>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</si>
  <si>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</si>
  <si>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</si>
  <si>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</si>
  <si>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</si>
  <si>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</si>
  <si>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</si>
  <si>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</si>
  <si>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</si>
  <si>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</si>
  <si>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</si>
  <si>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</si>
  <si>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</si>
  <si>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</si>
  <si>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</si>
  <si>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</si>
  <si>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</si>
  <si>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</si>
  <si>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</si>
  <si>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</si>
  <si>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</si>
  <si>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</si>
  <si>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</si>
  <si>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</si>
  <si>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</si>
  <si>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</si>
  <si>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</si>
  <si>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</si>
  <si>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</si>
  <si>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</si>
  <si>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</si>
  <si>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</si>
  <si>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</si>
  <si>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</si>
  <si>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</si>
  <si>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</si>
  <si>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</si>
  <si>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</si>
  <si>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</si>
  <si>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</si>
  <si>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</si>
  <si>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</si>
  <si>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</si>
  <si>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</si>
  <si>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</si>
  <si>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</si>
  <si>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</si>
  <si>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</si>
  <si>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</si>
  <si>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</si>
  <si>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</si>
  <si>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</si>
  <si>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</si>
  <si>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</si>
  <si>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</si>
  <si>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</si>
  <si>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</si>
  <si>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</si>
  <si>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</si>
  <si>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</si>
  <si>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</si>
  <si>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</si>
  <si>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</si>
  <si>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</si>
  <si>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</si>
  <si>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</si>
  <si>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</si>
  <si>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</si>
  <si>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</si>
  <si>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</si>
  <si>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</si>
  <si>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</si>
  <si>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</si>
  <si>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</si>
  <si>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</si>
  <si>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</si>
  <si>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</si>
  <si>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</si>
  <si>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</si>
  <si>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</si>
  <si>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</si>
  <si>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</si>
  <si>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</si>
  <si>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</si>
  <si>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</si>
  <si>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</si>
  <si>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</si>
  <si>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</si>
  <si>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</si>
  <si>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</si>
  <si>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</si>
  <si>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</si>
  <si>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</si>
  <si>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</si>
  <si>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</si>
  <si>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</si>
  <si>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</si>
  <si>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</si>
  <si>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</si>
  <si>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</si>
  <si>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</si>
  <si>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</si>
  <si>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</si>
  <si>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</si>
  <si>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</si>
  <si>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</si>
  <si>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</si>
  <si>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</si>
  <si>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</si>
  <si>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</si>
  <si>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</si>
  <si>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</si>
  <si>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</si>
  <si>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</si>
  <si>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</si>
  <si>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</si>
  <si>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</si>
  <si>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</si>
  <si>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</si>
  <si>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</si>
  <si>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</si>
  <si>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</si>
  <si>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</si>
  <si>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</si>
  <si>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</si>
  <si>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</si>
  <si>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</si>
  <si>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</si>
  <si>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</si>
  <si>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</si>
  <si>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</si>
  <si>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</si>
  <si>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</si>
  <si>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</si>
  <si>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</si>
  <si>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</si>
  <si>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</si>
  <si>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</si>
  <si>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</si>
  <si>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</si>
  <si>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</si>
  <si>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</si>
  <si>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</si>
  <si>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</si>
  <si>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</si>
  <si>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</si>
  <si>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</si>
  <si>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</si>
  <si>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</si>
  <si>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</si>
  <si>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</si>
  <si>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</si>
  <si>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</si>
  <si>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</si>
  <si>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</si>
  <si>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</si>
  <si>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</si>
  <si>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</si>
  <si>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</si>
  <si>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</si>
  <si>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</si>
  <si>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</si>
  <si>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</si>
  <si>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</si>
  <si>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</si>
  <si>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</si>
  <si>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</si>
  <si>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</si>
  <si>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</si>
  <si>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</si>
  <si>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</si>
  <si>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</si>
  <si>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</si>
  <si>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</si>
  <si>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</si>
  <si>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</si>
  <si>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</si>
  <si>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</si>
  <si>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</si>
  <si>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</si>
  <si>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</si>
  <si>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</si>
  <si>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</si>
  <si>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</si>
  <si>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</si>
  <si>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</si>
  <si>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</si>
  <si>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</si>
  <si>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</si>
  <si>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</si>
  <si>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</si>
  <si>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</si>
  <si>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</si>
  <si>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</si>
  <si>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</si>
  <si>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</si>
  <si>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</si>
  <si>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</si>
  <si>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</si>
  <si>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</si>
  <si>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</si>
  <si>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</si>
  <si>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</si>
  <si>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</si>
  <si>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</si>
  <si>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</si>
  <si>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</si>
  <si>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</si>
  <si>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</si>
  <si>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</si>
  <si>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</si>
  <si>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</si>
  <si>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</si>
  <si>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</si>
  <si>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</si>
  <si>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</si>
  <si>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</si>
  <si>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</si>
  <si>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</si>
  <si>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</si>
  <si>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</si>
  <si>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</si>
  <si>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</si>
  <si>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</si>
  <si>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</si>
  <si>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</si>
  <si>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</si>
  <si>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</si>
  <si>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</si>
  <si>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</si>
  <si>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</si>
  <si>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</si>
  <si>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</si>
  <si>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</si>
  <si>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</si>
  <si>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</si>
  <si>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</si>
  <si>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</si>
  <si>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</si>
  <si>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</si>
  <si>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</si>
  <si>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</si>
  <si>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</si>
  <si>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</si>
  <si>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</si>
  <si>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</si>
  <si>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</si>
  <si>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</si>
  <si>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</si>
  <si>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</si>
  <si>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</si>
  <si>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</si>
  <si>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</si>
  <si>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</si>
  <si>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</si>
  <si>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</si>
  <si>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</si>
  <si>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</si>
  <si>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</si>
  <si>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</si>
  <si>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</si>
  <si>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</si>
  <si>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</si>
  <si>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</si>
  <si>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</si>
  <si>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</si>
  <si>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</si>
  <si>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</si>
  <si>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</si>
  <si>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</si>
  <si>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</si>
  <si>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</si>
  <si>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</si>
  <si>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</si>
  <si>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</si>
  <si>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</si>
  <si>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</si>
  <si>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</si>
  <si>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</si>
  <si>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</si>
  <si>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</si>
  <si>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</si>
  <si>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</si>
  <si>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</si>
  <si>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</si>
  <si>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</si>
  <si>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</si>
  <si>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</si>
  <si>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</si>
  <si>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</si>
  <si>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</si>
  <si>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</si>
  <si>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</si>
  <si>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</si>
  <si>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</si>
  <si>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</si>
  <si>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</si>
  <si>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</si>
  <si>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</si>
  <si>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</si>
  <si>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</si>
  <si>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</si>
  <si>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</si>
  <si>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</si>
  <si>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</si>
  <si>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</si>
  <si>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</si>
  <si>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</si>
  <si>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</si>
  <si>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</si>
  <si>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</si>
  <si>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</si>
  <si>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</si>
  <si>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</si>
  <si>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</si>
  <si>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</si>
  <si>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</si>
  <si>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</si>
  <si>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</si>
  <si>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</si>
  <si>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</si>
  <si>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</si>
  <si>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</si>
  <si>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</si>
  <si>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</si>
  <si>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</si>
  <si>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</si>
  <si>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</si>
  <si>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</si>
  <si>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</si>
  <si>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</si>
  <si>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</si>
  <si>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</si>
  <si>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</si>
  <si>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</si>
  <si>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</si>
  <si>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</si>
  <si>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</si>
  <si>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</si>
  <si>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</si>
  <si>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</si>
  <si>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</si>
  <si>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</si>
  <si>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</si>
  <si>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</si>
  <si>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</si>
  <si>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</si>
  <si>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</si>
  <si>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</si>
  <si>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</si>
  <si>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</si>
  <si>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</si>
  <si>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</si>
  <si>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</si>
  <si>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</si>
  <si>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</si>
  <si>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</si>
  <si>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</si>
  <si>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</si>
  <si>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</si>
  <si>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</si>
  <si>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</si>
  <si>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</si>
  <si>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</si>
  <si>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</si>
  <si>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</si>
  <si>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</si>
  <si>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</si>
  <si>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</si>
  <si>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</si>
  <si>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</si>
  <si>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</si>
  <si>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</si>
  <si>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</si>
  <si>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</si>
  <si>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</si>
  <si>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</si>
  <si>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</si>
  <si>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</si>
  <si>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</si>
  <si>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</si>
  <si>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</si>
  <si>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</si>
  <si>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</si>
  <si>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</si>
  <si>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</si>
  <si>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</si>
  <si>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</si>
  <si>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</si>
  <si>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</si>
  <si>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</si>
  <si>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</si>
  <si>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</si>
  <si>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</si>
  <si>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</si>
  <si>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</si>
  <si>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</si>
  <si>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</si>
  <si>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</si>
  <si>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</si>
  <si>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</si>
  <si>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</si>
  <si>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</si>
  <si>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</si>
  <si>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</si>
  <si>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</si>
  <si>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</si>
  <si>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</si>
  <si>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</si>
  <si>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</si>
  <si>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</si>
  <si>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</si>
  <si>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</si>
  <si>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</si>
  <si>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</si>
  <si>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</si>
  <si>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</si>
  <si>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</si>
  <si>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</si>
  <si>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</si>
  <si>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</si>
  <si>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</si>
  <si>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</si>
  <si>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</si>
  <si>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</si>
  <si>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</si>
  <si>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</si>
  <si>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</si>
  <si>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</si>
  <si>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</si>
  <si>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</si>
  <si>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</si>
  <si>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</si>
  <si>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</si>
  <si>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</si>
  <si>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</si>
  <si>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</si>
  <si>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</si>
  <si>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</si>
  <si>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</si>
  <si>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</si>
  <si>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</si>
  <si>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</si>
  <si>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</si>
  <si>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</si>
  <si>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</si>
  <si>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</si>
  <si>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</si>
  <si>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</si>
  <si>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</si>
  <si>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</si>
  <si>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</si>
  <si>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</si>
  <si>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</si>
  <si>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</si>
  <si>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</si>
  <si>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</si>
  <si>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</si>
  <si>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</si>
  <si>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</si>
  <si>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</si>
  <si>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</si>
  <si>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</si>
  <si>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</si>
  <si>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</si>
  <si>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</si>
  <si>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</si>
  <si>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</si>
  <si>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</si>
  <si>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</si>
  <si>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</si>
  <si>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</si>
  <si>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</si>
  <si>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</si>
  <si>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</si>
  <si>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</si>
  <si>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</si>
  <si>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</si>
  <si>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</si>
  <si>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</si>
  <si>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</si>
  <si>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</si>
  <si>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</si>
  <si>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</si>
  <si>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</si>
  <si>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</si>
  <si>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</si>
  <si>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</si>
  <si>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</si>
  <si>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</si>
  <si>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</si>
  <si>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</si>
  <si>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</si>
  <si>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</si>
  <si>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</si>
  <si>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</si>
  <si>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</si>
  <si>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</si>
  <si>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</si>
  <si>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</si>
  <si>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</si>
  <si>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</si>
  <si>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</si>
  <si>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</si>
  <si>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</si>
  <si>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</si>
  <si>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</si>
  <si>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</si>
  <si>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</si>
  <si>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</si>
  <si>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</si>
  <si>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</si>
  <si>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</si>
  <si>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</si>
  <si>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</si>
  <si>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</si>
  <si>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</si>
  <si>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</si>
  <si>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</si>
  <si>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</si>
  <si>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</si>
  <si>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</si>
  <si>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</si>
  <si>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</si>
  <si>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</si>
  <si>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</si>
  <si>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</si>
  <si>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</si>
  <si>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</si>
  <si>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</si>
  <si>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</si>
  <si>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</si>
  <si>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</si>
  <si>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</si>
  <si>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</si>
  <si>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</si>
  <si>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</si>
  <si>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</si>
  <si>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</si>
  <si>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</si>
  <si>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</si>
  <si>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</si>
  <si>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</si>
  <si>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</si>
  <si>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</si>
  <si>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</si>
  <si>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</si>
  <si>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</si>
  <si>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</si>
  <si>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</si>
  <si>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</si>
  <si>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</si>
  <si>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</si>
  <si>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</si>
  <si>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</si>
  <si>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</si>
  <si>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</si>
  <si>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</si>
  <si>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</si>
  <si>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</si>
  <si>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</si>
  <si>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</si>
  <si>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</si>
  <si>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</si>
  <si>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</si>
  <si>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</si>
  <si>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</si>
  <si>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</si>
  <si>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</si>
  <si>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</si>
  <si>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</si>
  <si>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</si>
  <si>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</si>
  <si>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</si>
  <si>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</si>
  <si>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</si>
  <si>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</si>
  <si>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</si>
  <si>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</si>
  <si>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</si>
  <si>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</si>
  <si>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</si>
  <si>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</si>
  <si>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</si>
  <si>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</si>
  <si>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</si>
  <si>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</si>
  <si>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</si>
  <si>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</si>
  <si>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</si>
  <si>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</si>
  <si>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</si>
  <si>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</si>
  <si>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</si>
  <si>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</si>
  <si>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</si>
  <si>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</si>
  <si>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</si>
  <si>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</si>
  <si>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</si>
  <si>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</si>
  <si>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</si>
  <si>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</si>
  <si>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</si>
  <si>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</si>
  <si>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</si>
  <si>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</si>
  <si>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</si>
  <si>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</si>
  <si>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</si>
  <si>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</si>
  <si>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</si>
  <si>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</si>
  <si>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</si>
  <si>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</si>
  <si>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</si>
  <si>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</si>
  <si>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</si>
  <si>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</si>
  <si>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</si>
  <si>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</si>
  <si>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</si>
  <si>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</si>
  <si>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</si>
  <si>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</si>
  <si>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</si>
  <si>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</si>
  <si>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</si>
  <si>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</si>
  <si>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</si>
  <si>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</si>
  <si>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</si>
  <si>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</si>
  <si>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</si>
  <si>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</si>
  <si>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</si>
  <si>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</si>
  <si>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</si>
  <si>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</si>
  <si>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</si>
  <si>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</si>
  <si>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</si>
  <si>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</si>
  <si>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</si>
  <si>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</si>
  <si>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</si>
  <si>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</si>
  <si>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</si>
  <si>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</si>
  <si>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</si>
  <si>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</si>
  <si>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</si>
  <si>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</si>
  <si>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</si>
  <si>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</si>
  <si>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</si>
  <si>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</si>
  <si>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</si>
  <si>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</si>
  <si>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</si>
  <si>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</si>
  <si>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</si>
  <si>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</si>
  <si>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</si>
  <si>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</si>
  <si>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</si>
  <si>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</si>
  <si>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</si>
  <si>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</si>
  <si>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</si>
  <si>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</si>
  <si>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</si>
  <si>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</si>
  <si>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</si>
  <si>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</si>
  <si>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</si>
  <si>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</si>
  <si>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</si>
  <si>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</si>
  <si>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</si>
  <si>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</si>
  <si>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</si>
  <si>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</si>
  <si>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</si>
  <si>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</si>
  <si>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</si>
  <si>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</si>
  <si>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</si>
  <si>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</si>
  <si>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</si>
  <si>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</si>
  <si>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</si>
  <si>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</si>
  <si>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</si>
  <si>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</si>
  <si>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</si>
  <si>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</si>
  <si>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</si>
  <si>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</si>
  <si>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</si>
  <si>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</si>
  <si>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</si>
  <si>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</si>
  <si>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</si>
  <si>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</si>
  <si>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</si>
  <si>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</si>
  <si>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</si>
  <si>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</si>
  <si>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</si>
  <si>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</si>
  <si>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</si>
  <si>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</si>
  <si>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</si>
  <si>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</si>
  <si>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</si>
  <si>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</si>
  <si>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</si>
  <si>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</si>
  <si>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</si>
  <si>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</si>
  <si>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</si>
  <si>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</si>
  <si>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</si>
  <si>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</si>
  <si>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</si>
  <si>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</si>
  <si>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</si>
  <si>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</si>
  <si>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</si>
  <si>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</si>
  <si>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</si>
  <si>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</si>
  <si>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</si>
  <si>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</si>
  <si>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</si>
  <si>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</si>
  <si>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</si>
  <si>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</si>
  <si>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</si>
  <si>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</si>
  <si>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</si>
  <si>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</si>
  <si>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</si>
  <si>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</si>
  <si>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</si>
  <si>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</si>
  <si>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</si>
  <si>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</si>
  <si>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</si>
  <si>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</si>
  <si>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</si>
  <si>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</si>
  <si>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</si>
  <si>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</si>
  <si>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</si>
  <si>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</si>
  <si>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</si>
  <si>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</si>
  <si>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</si>
  <si>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</si>
  <si>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</si>
  <si>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</si>
  <si>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</si>
  <si>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</si>
  <si>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</si>
  <si>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</si>
  <si>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</si>
  <si>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</si>
  <si>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</si>
  <si>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</si>
  <si>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</si>
  <si>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</si>
  <si>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</si>
  <si>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</si>
  <si>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</si>
  <si>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</si>
  <si>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</si>
  <si>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</si>
  <si>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</si>
  <si>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</si>
  <si>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</si>
  <si>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</si>
  <si>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</si>
  <si>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</si>
  <si>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</si>
  <si>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</si>
  <si>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</si>
  <si>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</si>
  <si>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</si>
  <si>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</si>
  <si>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</si>
  <si>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</si>
  <si>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</si>
  <si>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</si>
  <si>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</si>
  <si>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</si>
  <si>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</si>
  <si>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</si>
  <si>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</si>
  <si>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</si>
  <si>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</si>
  <si>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</si>
  <si>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</si>
  <si>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</si>
  <si>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</si>
  <si>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</si>
  <si>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</si>
  <si>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</si>
  <si>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</si>
  <si>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</si>
  <si>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</si>
  <si>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</si>
  <si>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</si>
  <si>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</si>
  <si>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</si>
  <si>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</si>
  <si>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</si>
  <si>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</si>
  <si>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</si>
  <si>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</si>
  <si>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</si>
  <si>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</si>
  <si>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</si>
  <si>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</si>
  <si>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</si>
  <si>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</si>
  <si>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</si>
  <si>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</si>
  <si>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</si>
  <si>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</si>
  <si>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</si>
  <si>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</si>
  <si>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</si>
  <si>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</si>
  <si>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</si>
  <si>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</si>
  <si>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</si>
  <si>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</si>
  <si>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</si>
  <si>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</si>
  <si>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</si>
  <si>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</si>
  <si>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</si>
  <si>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</si>
  <si>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</si>
  <si>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</si>
  <si>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</si>
  <si>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</si>
  <si>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</si>
  <si>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</si>
  <si>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</si>
  <si>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</si>
  <si>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</si>
  <si>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</si>
  <si>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</si>
  <si>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</si>
  <si>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</si>
  <si>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</si>
  <si>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</si>
  <si>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</si>
  <si>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</si>
  <si>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</si>
  <si>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</si>
  <si>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</si>
  <si>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</si>
  <si>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</si>
  <si>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</si>
  <si>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</si>
  <si>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</si>
  <si>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</si>
  <si>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</si>
  <si>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</si>
  <si>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</si>
  <si>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</si>
  <si>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</si>
  <si>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</si>
  <si>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</si>
  <si>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</si>
  <si>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</si>
  <si>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</si>
  <si>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</si>
  <si>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</si>
  <si>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</si>
  <si>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</si>
  <si>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</si>
  <si>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</si>
  <si>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</si>
  <si>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</si>
  <si>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</si>
  <si>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</si>
  <si>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</si>
  <si>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</si>
  <si>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</si>
  <si>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</si>
  <si>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</si>
  <si>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</si>
  <si>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</si>
  <si>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</si>
  <si>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</si>
  <si>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</si>
  <si>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</si>
  <si>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</si>
  <si>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</si>
  <si>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</si>
  <si>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</si>
  <si>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</si>
  <si>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</si>
  <si>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</si>
  <si>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</si>
  <si>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</si>
  <si>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</si>
  <si>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</si>
  <si>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</si>
  <si>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</si>
  <si>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</si>
  <si>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</si>
  <si>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</si>
  <si>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</si>
  <si>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</si>
  <si>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</si>
  <si>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</si>
  <si>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</si>
  <si>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</si>
  <si>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</si>
  <si>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</si>
  <si>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</si>
  <si>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</si>
  <si>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</si>
  <si>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</si>
  <si>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</si>
  <si>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</si>
  <si>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</si>
  <si>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</si>
  <si>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</si>
  <si>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</si>
  <si>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</si>
  <si>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</si>
  <si>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</si>
  <si>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</si>
  <si>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</si>
  <si>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</si>
  <si>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</si>
  <si>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</si>
  <si>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</si>
  <si>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</si>
  <si>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</si>
  <si>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</si>
  <si>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</si>
  <si>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</si>
  <si>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</si>
  <si>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</si>
  <si>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</si>
  <si>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</si>
  <si>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</si>
  <si>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</si>
  <si>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</si>
  <si>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</si>
  <si>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</si>
  <si>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</si>
  <si>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</si>
  <si>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</si>
  <si>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</si>
  <si>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</si>
  <si>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</si>
  <si>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</si>
  <si>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</si>
  <si>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</si>
  <si>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</si>
  <si>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</si>
  <si>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</si>
  <si>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</si>
  <si>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</si>
  <si>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</si>
  <si>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</si>
  <si>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</si>
  <si>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</si>
  <si>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</si>
  <si>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</si>
  <si>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</si>
  <si>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</si>
  <si>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</si>
  <si>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</si>
  <si>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</si>
  <si>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</si>
  <si>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</si>
  <si>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</si>
  <si>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</si>
  <si>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</si>
  <si>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</si>
  <si>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</si>
  <si>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</si>
  <si>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</si>
  <si>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</si>
  <si>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</si>
  <si>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</si>
  <si>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</si>
  <si>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</si>
  <si>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</si>
  <si>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</si>
  <si>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</si>
  <si>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</si>
  <si>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</si>
  <si>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</si>
  <si>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</si>
  <si>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</si>
  <si>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</si>
  <si>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</si>
  <si>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</si>
  <si>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</si>
  <si>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</si>
  <si>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</si>
  <si>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</si>
  <si>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</si>
  <si>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</si>
  <si>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</si>
  <si>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</si>
  <si>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</si>
  <si>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</si>
  <si>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</si>
  <si>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</si>
  <si>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</si>
  <si>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</si>
  <si>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</si>
  <si>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</si>
  <si>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</si>
  <si>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</si>
  <si>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</si>
  <si>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</si>
  <si>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</si>
  <si>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</si>
  <si>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</si>
  <si>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</si>
  <si>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</si>
  <si>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</si>
  <si>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</si>
  <si>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</si>
  <si>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</si>
  <si>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</si>
  <si>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</si>
  <si>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</si>
  <si>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</si>
  <si>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</si>
  <si>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</si>
  <si>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</si>
  <si>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</si>
  <si>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</si>
  <si>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</si>
  <si>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</si>
  <si>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</si>
  <si>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</si>
  <si>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</si>
  <si>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</si>
  <si>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</si>
  <si>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</si>
  <si>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</si>
  <si>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</si>
  <si>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</si>
  <si>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</si>
  <si>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</si>
  <si>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</si>
  <si>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</si>
  <si>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</si>
  <si>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</si>
  <si>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</si>
  <si>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</si>
  <si>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</si>
  <si>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</si>
  <si>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</si>
  <si>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</si>
  <si>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</si>
  <si>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</si>
  <si>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</si>
  <si>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</si>
  <si>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</si>
  <si>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</si>
  <si>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</si>
  <si>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</si>
  <si>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</si>
  <si>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</si>
  <si>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</si>
  <si>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</si>
  <si>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</si>
  <si>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</si>
  <si>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</si>
  <si>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</si>
  <si>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</si>
  <si>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</si>
  <si>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</si>
  <si>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</si>
  <si>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</si>
  <si>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</si>
  <si>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</si>
  <si>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</si>
  <si>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</si>
  <si>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</si>
  <si>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</si>
  <si>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</si>
  <si>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</si>
  <si>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</si>
  <si>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</si>
  <si>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</si>
  <si>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</si>
  <si>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</si>
  <si>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</si>
  <si>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</si>
  <si>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</si>
  <si>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</si>
  <si>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</si>
  <si>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</si>
  <si>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</si>
  <si>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</si>
  <si>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</si>
  <si>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</si>
  <si>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</si>
  <si>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</si>
  <si>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</si>
  <si>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</si>
  <si>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</si>
  <si>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</si>
  <si>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</si>
  <si>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</si>
  <si>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</si>
  <si>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</si>
  <si>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</si>
  <si>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</si>
  <si>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</si>
  <si>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</si>
  <si>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</si>
  <si>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</si>
  <si>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</si>
  <si>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</si>
  <si>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</si>
  <si>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</si>
  <si>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</si>
  <si>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</si>
  <si>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</si>
  <si>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</si>
  <si>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</si>
  <si>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</si>
  <si>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</si>
  <si>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</si>
  <si>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</si>
  <si>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</si>
  <si>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</si>
  <si>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</si>
  <si>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</si>
  <si>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</si>
  <si>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</si>
  <si>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</si>
  <si>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</si>
  <si>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</si>
  <si>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</si>
  <si>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</si>
  <si>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</si>
  <si>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</si>
  <si>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</si>
  <si>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</si>
  <si>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</si>
  <si>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</si>
  <si>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</si>
  <si>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</si>
  <si>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</si>
  <si>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</si>
  <si>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</si>
  <si>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</si>
  <si>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</si>
  <si>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</si>
  <si>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</si>
  <si>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</si>
  <si>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</si>
  <si>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</si>
  <si>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</si>
  <si>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</si>
  <si>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</si>
  <si>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</si>
  <si>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</si>
  <si>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</si>
  <si>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</si>
  <si>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</si>
  <si>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</si>
  <si>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</si>
  <si>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</si>
  <si>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</si>
  <si>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</si>
  <si>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</si>
  <si>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</si>
  <si>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</si>
  <si>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</si>
  <si>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</si>
  <si>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</si>
  <si>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</si>
  <si>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</si>
  <si>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</si>
  <si>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</si>
  <si>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</si>
  <si>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</si>
  <si>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</si>
  <si>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</si>
  <si>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</si>
  <si>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</si>
  <si>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</si>
  <si>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</si>
  <si>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</si>
  <si>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</si>
  <si>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</si>
  <si>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</si>
  <si>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</si>
  <si>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</si>
  <si>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</si>
  <si>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</si>
  <si>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</si>
  <si>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</si>
  <si>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</si>
  <si>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</si>
  <si>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</si>
  <si>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</si>
  <si>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</si>
  <si>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</si>
  <si>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</si>
  <si>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</si>
  <si>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</si>
  <si>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</si>
  <si>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</si>
  <si>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</si>
  <si>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</si>
  <si>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</si>
  <si>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</si>
  <si>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</si>
  <si>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</si>
  <si>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</si>
  <si>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</si>
  <si>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</si>
  <si>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</si>
  <si>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</si>
  <si>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</si>
  <si>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</si>
  <si>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</si>
  <si>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</si>
  <si>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</si>
  <si>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</si>
  <si>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</si>
  <si>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</si>
  <si>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</si>
  <si>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</si>
  <si>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</si>
  <si>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</si>
  <si>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</si>
  <si>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</si>
  <si>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</si>
  <si>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</si>
  <si>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</si>
  <si>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</si>
  <si>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</si>
  <si>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</si>
  <si>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</si>
  <si>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</si>
  <si>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</si>
  <si>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</si>
  <si>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</si>
  <si>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</si>
  <si>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</si>
  <si>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</si>
  <si>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</si>
  <si>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</si>
  <si>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</si>
  <si>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</si>
  <si>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</si>
  <si>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</si>
  <si>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</si>
  <si>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</si>
  <si>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</si>
  <si>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</si>
  <si>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</si>
  <si>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</si>
  <si>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</si>
  <si>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</si>
  <si>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</si>
  <si>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</si>
  <si>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</si>
  <si>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</si>
  <si>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</si>
  <si>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</si>
  <si>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</si>
  <si>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</si>
  <si>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</si>
  <si>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</si>
  <si>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</si>
  <si>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</si>
  <si>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</si>
  <si>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</si>
  <si>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</si>
  <si>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</si>
  <si>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</si>
  <si>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</si>
  <si>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</si>
  <si>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</si>
  <si>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</si>
  <si>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</si>
  <si>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</si>
  <si>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</si>
  <si>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</si>
  <si>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</si>
  <si>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</si>
  <si>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</si>
  <si>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</si>
  <si>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</si>
  <si>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</si>
  <si>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</si>
  <si>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</si>
  <si>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</si>
  <si>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</si>
  <si>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</si>
  <si>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</si>
  <si>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</si>
  <si>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</si>
  <si>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</si>
  <si>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</si>
  <si>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</si>
  <si>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</si>
  <si>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</si>
  <si>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</si>
  <si>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</si>
  <si>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</si>
  <si>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</si>
  <si>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</si>
  <si>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</si>
  <si>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</si>
  <si>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</si>
  <si>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</si>
  <si>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</si>
  <si>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</si>
  <si>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</si>
  <si>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</si>
  <si>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</si>
  <si>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</si>
  <si>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</si>
  <si>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</si>
  <si>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</si>
  <si>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</si>
  <si>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</si>
  <si>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</si>
  <si>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</si>
  <si>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</si>
  <si>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</si>
  <si>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</si>
  <si>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</si>
  <si>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</si>
  <si>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</si>
  <si>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</si>
  <si>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</si>
  <si>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</si>
  <si>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</si>
  <si>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</si>
  <si>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</si>
  <si>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</si>
  <si>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</si>
  <si>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</si>
  <si>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</si>
  <si>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</si>
  <si>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</si>
  <si>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</si>
  <si>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</si>
  <si>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</si>
  <si>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</si>
  <si>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</si>
  <si>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</si>
  <si>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</si>
  <si>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</si>
  <si>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</si>
  <si>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</si>
  <si>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</si>
  <si>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</si>
  <si>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</si>
  <si>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</si>
  <si>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</si>
  <si>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</si>
  <si>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</si>
  <si>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</si>
  <si>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</si>
  <si>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</si>
  <si>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</si>
  <si>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</si>
  <si>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</si>
  <si>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</si>
  <si>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</si>
  <si>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</si>
  <si>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</si>
  <si>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</si>
  <si>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</si>
  <si>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</si>
  <si>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</si>
  <si>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</si>
  <si>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</si>
  <si>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</si>
  <si>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</si>
  <si>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</si>
  <si>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</si>
  <si>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</si>
  <si>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</si>
  <si>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</si>
  <si>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</si>
  <si>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</si>
  <si>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</si>
  <si>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</si>
  <si>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</si>
  <si>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</si>
  <si>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</si>
  <si>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</si>
  <si>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</si>
  <si>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</si>
  <si>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</si>
  <si>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</si>
  <si>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</si>
  <si>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</si>
  <si>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</si>
  <si>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</si>
  <si>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</si>
  <si>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</si>
  <si>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</si>
  <si>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</si>
  <si>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</si>
  <si>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</si>
  <si>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</si>
  <si>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</si>
  <si>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</si>
  <si>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</si>
  <si>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</si>
  <si>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</si>
  <si>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</si>
  <si>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</si>
  <si>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</si>
  <si>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</si>
  <si>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</si>
  <si>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</si>
  <si>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</si>
  <si>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</si>
  <si>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</si>
  <si>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</si>
  <si>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</si>
  <si>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</si>
  <si>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</si>
  <si>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</si>
  <si>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</si>
  <si>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</si>
  <si>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</si>
  <si>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</si>
  <si>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</si>
  <si>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</si>
  <si>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</si>
  <si>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</si>
  <si>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</si>
  <si>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</si>
  <si>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</si>
  <si>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</si>
  <si>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</si>
  <si>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</si>
  <si>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</si>
  <si>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</si>
  <si>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</si>
  <si>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</si>
  <si>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</si>
  <si>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</si>
  <si>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</si>
  <si>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</si>
  <si>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</si>
  <si>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</si>
  <si>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</si>
  <si>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</si>
  <si>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</si>
  <si>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</si>
  <si>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</si>
  <si>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</si>
  <si>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</si>
  <si>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</si>
  <si>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</si>
  <si>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</si>
  <si>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</si>
  <si>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</si>
  <si>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</si>
  <si>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</si>
  <si>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</si>
  <si>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</si>
  <si>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</si>
  <si>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</si>
  <si>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</si>
  <si>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</si>
  <si>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</si>
  <si>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</si>
  <si>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</si>
  <si>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</si>
  <si>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</si>
  <si>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</si>
  <si>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</si>
  <si>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</si>
  <si>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</si>
  <si>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</si>
  <si>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</si>
  <si>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</si>
  <si>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</si>
  <si>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</si>
  <si>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</si>
  <si>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</si>
  <si>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</si>
  <si>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</si>
  <si>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</si>
  <si>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</si>
  <si>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</si>
  <si>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</si>
  <si>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</si>
  <si>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</si>
  <si>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</si>
  <si>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</si>
  <si>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</si>
  <si>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</si>
  <si>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</si>
  <si>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</si>
  <si>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</si>
  <si>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</si>
  <si>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</si>
  <si>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</si>
  <si>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</si>
  <si>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</si>
  <si>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</si>
  <si>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</si>
  <si>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</si>
  <si>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</si>
  <si>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</si>
  <si>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</si>
  <si>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</si>
  <si>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</si>
  <si>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</si>
  <si>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</si>
  <si>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</si>
  <si>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</si>
  <si>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</si>
  <si>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</si>
  <si>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</si>
  <si>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</si>
  <si>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</si>
  <si>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</si>
  <si>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</si>
  <si>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</si>
  <si>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</si>
  <si>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</si>
  <si>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</si>
  <si>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</si>
  <si>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</si>
  <si>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</si>
  <si>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</si>
  <si>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</si>
  <si>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</si>
  <si>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</si>
  <si>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</si>
  <si>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</si>
  <si>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</si>
  <si>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</si>
  <si>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</si>
  <si>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</si>
  <si>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</si>
  <si>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</si>
  <si>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</si>
  <si>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</si>
  <si>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</si>
  <si>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</si>
  <si>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</si>
  <si>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</si>
  <si>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</si>
  <si>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</si>
  <si>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</si>
  <si>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</si>
  <si>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</si>
  <si>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</si>
  <si>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</si>
  <si>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</si>
  <si>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</si>
  <si>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</si>
  <si>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</si>
  <si>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</si>
  <si>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</si>
  <si>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</si>
  <si>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</si>
  <si>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</si>
  <si>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</si>
  <si>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</si>
  <si>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</si>
  <si>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</si>
  <si>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</si>
  <si>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</si>
  <si>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</si>
  <si>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</si>
  <si>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</si>
  <si>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</si>
  <si>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</si>
  <si>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</si>
  <si>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</si>
  <si>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</si>
  <si>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</si>
  <si>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</si>
  <si>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</si>
  <si>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</si>
  <si>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</si>
  <si>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</si>
  <si>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</si>
  <si>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</si>
  <si>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</si>
  <si>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</si>
  <si>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</si>
  <si>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</si>
  <si>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</si>
  <si>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</si>
  <si>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</si>
  <si>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</si>
  <si>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</si>
  <si>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</si>
  <si>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</si>
  <si>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</si>
  <si>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</si>
  <si>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</si>
  <si>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</si>
  <si>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</si>
  <si>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</si>
  <si>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</si>
  <si>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</si>
  <si>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</si>
  <si>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</si>
  <si>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</si>
  <si>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</si>
  <si>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</si>
  <si>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</si>
  <si>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</si>
  <si>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</si>
  <si>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</si>
  <si>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</si>
  <si>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</si>
  <si>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</si>
  <si>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</si>
  <si>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</si>
  <si>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</si>
  <si>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</si>
  <si>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</si>
  <si>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</si>
  <si>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</si>
  <si>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</si>
  <si>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</si>
  <si>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</si>
  <si>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</si>
  <si>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</si>
  <si>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</si>
  <si>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</si>
  <si>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</si>
  <si>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</si>
  <si>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</si>
  <si>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</si>
  <si>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</si>
  <si>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</si>
  <si>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</si>
  <si>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</si>
  <si>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</si>
  <si>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</si>
  <si>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</si>
  <si>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</si>
  <si>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</si>
  <si>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</si>
  <si>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</si>
  <si>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</si>
  <si>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</si>
  <si>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</si>
  <si>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</si>
  <si>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</si>
  <si>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</si>
  <si>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</si>
  <si>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</si>
  <si>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</si>
  <si>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</si>
  <si>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</si>
  <si>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</si>
  <si>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</si>
  <si>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</si>
  <si>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</si>
  <si>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</si>
  <si>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</si>
  <si>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</si>
  <si>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</si>
  <si>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</si>
  <si>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</si>
  <si>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</si>
  <si>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</si>
  <si>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</si>
  <si>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</si>
  <si>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</si>
  <si>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</si>
  <si>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</si>
  <si>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</si>
  <si>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</si>
  <si>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</si>
  <si>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</si>
  <si>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</si>
  <si>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</si>
  <si>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</si>
  <si>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</si>
  <si>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</si>
  <si>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</si>
  <si>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</si>
  <si>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</si>
  <si>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</si>
  <si>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</si>
  <si>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</si>
  <si>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</si>
  <si>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</si>
  <si>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</si>
  <si>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</si>
  <si>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</si>
  <si>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</si>
  <si>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</si>
  <si>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</si>
  <si>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</si>
  <si>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</si>
  <si>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</si>
  <si>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</si>
  <si>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</si>
  <si>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</si>
  <si>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</si>
  <si>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</si>
  <si>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</si>
  <si>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</si>
  <si>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</si>
  <si>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</si>
  <si>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</si>
  <si>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</si>
  <si>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</si>
  <si>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</si>
  <si>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</si>
  <si>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</si>
  <si>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</si>
  <si>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</si>
  <si>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</si>
  <si>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</si>
  <si>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</si>
  <si>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</si>
  <si>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</si>
  <si>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</si>
  <si>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</si>
  <si>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</si>
  <si>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</si>
  <si>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</si>
  <si>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</si>
  <si>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</si>
  <si>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</si>
  <si>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</si>
  <si>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</si>
  <si>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</si>
  <si>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</si>
  <si>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</si>
  <si>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</si>
  <si>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</si>
  <si>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</si>
  <si>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</si>
  <si>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</si>
  <si>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</si>
  <si>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</si>
  <si>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</si>
  <si>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</si>
  <si>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</si>
  <si>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</si>
  <si>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</si>
  <si>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</si>
  <si>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</si>
  <si>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</si>
  <si>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</si>
  <si>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</si>
  <si>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</si>
  <si>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</si>
  <si>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</si>
  <si>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</si>
  <si>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</si>
  <si>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</si>
  <si>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</si>
  <si>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</si>
  <si>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</si>
  <si>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</si>
  <si>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</si>
  <si>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</si>
  <si>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</si>
  <si>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</si>
  <si>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</si>
  <si>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</si>
  <si>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</si>
  <si>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</si>
  <si>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</si>
  <si>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</si>
  <si>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</si>
  <si>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</si>
  <si>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</si>
  <si>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</si>
  <si>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</si>
  <si>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</si>
  <si>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</si>
  <si>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</si>
  <si>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</si>
  <si>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</si>
  <si>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</si>
  <si>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</si>
  <si>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</si>
  <si>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</si>
  <si>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</si>
  <si>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</si>
  <si>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</si>
  <si>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</si>
  <si>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</si>
  <si>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</si>
  <si>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</si>
  <si>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</si>
  <si>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</si>
  <si>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</si>
  <si>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</si>
  <si>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</si>
  <si>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</si>
  <si>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</si>
  <si>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</si>
  <si>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</si>
  <si>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</si>
  <si>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</si>
  <si>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</si>
  <si>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</si>
  <si>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</si>
  <si>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</si>
  <si>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</si>
  <si>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</si>
  <si>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</si>
  <si>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</si>
  <si>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</si>
  <si>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</si>
  <si>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</si>
  <si>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</si>
  <si>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</si>
  <si>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</si>
  <si>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</si>
  <si>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</si>
  <si>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</si>
  <si>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</si>
  <si>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</si>
  <si>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</si>
  <si>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</si>
  <si>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</si>
  <si>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</si>
  <si>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</si>
  <si>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</si>
  <si>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</si>
  <si>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</si>
  <si>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</si>
  <si>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</si>
  <si>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</si>
  <si>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</si>
  <si>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</si>
  <si>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</si>
  <si>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</si>
  <si>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</si>
  <si>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</si>
  <si>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</si>
  <si>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</si>
  <si>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</si>
  <si>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</si>
  <si>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</si>
  <si>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</si>
  <si>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</si>
  <si>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</si>
  <si>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</si>
  <si>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</si>
  <si>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</si>
  <si>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</si>
  <si>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</si>
  <si>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</si>
  <si>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</si>
  <si>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</si>
  <si>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</si>
  <si>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</si>
  <si>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</si>
  <si>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</si>
  <si>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</si>
  <si>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</si>
  <si>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</si>
  <si>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</si>
  <si>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</si>
  <si>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</si>
  <si>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</si>
  <si>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</si>
  <si>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</si>
  <si>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</si>
  <si>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</si>
  <si>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</si>
  <si>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</si>
  <si>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</si>
  <si>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</si>
  <si>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</si>
  <si>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</si>
  <si>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</si>
  <si>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</si>
  <si>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</si>
  <si>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</si>
  <si>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</si>
  <si>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</si>
  <si>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</si>
  <si>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</si>
  <si>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</si>
  <si>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</si>
  <si>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</si>
  <si>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</si>
  <si>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</si>
  <si>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</si>
  <si>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</si>
  <si>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</si>
  <si>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</si>
  <si>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</si>
  <si>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</si>
  <si>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</si>
  <si>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</si>
  <si>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</si>
  <si>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</si>
  <si>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</si>
  <si>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</si>
  <si>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</si>
  <si>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</si>
  <si>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</si>
  <si>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</si>
  <si>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</si>
  <si>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</si>
  <si>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</si>
  <si>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</si>
  <si>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</si>
  <si>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</si>
  <si>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</si>
  <si>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</si>
  <si>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</si>
  <si>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</si>
  <si>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</si>
  <si>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</si>
  <si>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</si>
  <si>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</si>
  <si>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</si>
  <si>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</si>
  <si>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</si>
  <si>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</si>
  <si>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</si>
  <si>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</si>
  <si>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</si>
  <si>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</si>
  <si>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</si>
  <si>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</si>
  <si>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</si>
  <si>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</si>
  <si>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</si>
  <si>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</si>
  <si>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</si>
  <si>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</si>
  <si>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</si>
  <si>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</si>
  <si>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</si>
  <si>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</si>
  <si>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</si>
  <si>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</si>
  <si>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</si>
  <si>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</si>
  <si>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</si>
  <si>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</si>
  <si>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</si>
  <si>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</si>
  <si>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</si>
  <si>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</si>
  <si>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</si>
  <si>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</si>
  <si>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</si>
  <si>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</si>
  <si>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</si>
  <si>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</si>
  <si>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</si>
  <si>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</si>
  <si>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</si>
  <si>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</si>
  <si>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</si>
  <si>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</si>
  <si>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</si>
  <si>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</si>
  <si>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</si>
  <si>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</si>
  <si>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</si>
  <si>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</si>
  <si>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</si>
  <si>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</si>
  <si>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</si>
  <si>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</si>
  <si>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</si>
  <si>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</si>
  <si>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</si>
  <si>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</si>
  <si>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</si>
  <si>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</si>
  <si>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</si>
  <si>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</si>
  <si>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</si>
  <si>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</si>
  <si>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</si>
  <si>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</si>
  <si>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</si>
  <si>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</si>
  <si>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</si>
  <si>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</si>
  <si>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</si>
  <si>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</si>
  <si>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</si>
  <si>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</si>
  <si>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</si>
  <si>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</si>
  <si>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</si>
  <si>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</si>
  <si>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</si>
  <si>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</si>
  <si>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</si>
  <si>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</si>
  <si>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</si>
  <si>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</si>
  <si>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</si>
  <si>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</si>
  <si>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</si>
  <si>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</si>
  <si>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</si>
  <si>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</si>
  <si>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</si>
  <si>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</si>
  <si>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</si>
  <si>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</si>
  <si>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</si>
  <si>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</si>
  <si>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</si>
  <si>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</si>
  <si>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</si>
  <si>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</si>
  <si>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</si>
  <si>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</si>
  <si>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</si>
  <si>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</si>
  <si>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</si>
  <si>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</si>
  <si>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</si>
  <si>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</si>
  <si>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</si>
  <si>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</si>
  <si>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</si>
  <si>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</si>
  <si>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</si>
  <si>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</si>
  <si>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</si>
  <si>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</si>
  <si>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</si>
  <si>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</si>
  <si>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</si>
  <si>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</si>
  <si>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</si>
  <si>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</si>
  <si>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</si>
  <si>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</si>
  <si>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</si>
  <si>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</si>
  <si>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</si>
  <si>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</si>
  <si>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</si>
  <si>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</si>
  <si>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</si>
  <si>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</si>
  <si>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</si>
  <si>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</si>
  <si>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</si>
  <si>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</si>
  <si>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</si>
  <si>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</si>
  <si>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</si>
  <si>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</si>
  <si>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</si>
  <si>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</si>
  <si>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</si>
  <si>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</si>
  <si>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</si>
  <si>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</si>
  <si>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</si>
  <si>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</si>
  <si>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</si>
  <si>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</si>
  <si>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</si>
  <si>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</si>
  <si>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</si>
  <si>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</si>
  <si>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</si>
  <si>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</si>
  <si>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</si>
  <si>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</si>
  <si>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</si>
  <si>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</si>
  <si>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</si>
  <si>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</si>
  <si>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</si>
  <si>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</si>
  <si>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</si>
  <si>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</si>
  <si>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</si>
  <si>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</si>
  <si>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</si>
  <si>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</si>
  <si>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</si>
  <si>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</si>
  <si>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</si>
  <si>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</si>
  <si>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</si>
  <si>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</si>
  <si>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</si>
  <si>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</si>
  <si>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</si>
  <si>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</si>
  <si>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</si>
  <si>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</si>
  <si>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</si>
  <si>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</si>
  <si>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</si>
  <si>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</si>
  <si>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</si>
  <si>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</si>
  <si>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</si>
  <si>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</si>
  <si>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</si>
  <si>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</si>
  <si>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</si>
  <si>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</si>
  <si>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</si>
  <si>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</si>
  <si>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</si>
  <si>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</si>
  <si>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</si>
  <si>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</si>
  <si>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</si>
  <si>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</si>
  <si>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</si>
  <si>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</si>
  <si>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</si>
  <si>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</si>
  <si>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</si>
  <si>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</si>
  <si>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</si>
  <si>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</si>
  <si>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</si>
  <si>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</si>
  <si>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</si>
  <si>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</si>
  <si>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</si>
  <si>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</si>
  <si>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</si>
  <si>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</si>
  <si>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</si>
  <si>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</si>
  <si>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</si>
  <si>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</si>
  <si>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</si>
  <si>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</si>
  <si>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</si>
  <si>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</si>
  <si>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</si>
  <si>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</si>
  <si>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</si>
  <si>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</si>
  <si>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</si>
  <si>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</si>
  <si>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</si>
  <si>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</si>
  <si>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</si>
  <si>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</si>
  <si>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</si>
  <si>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</si>
  <si>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</si>
  <si>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</si>
  <si>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</si>
  <si>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</si>
  <si>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</si>
  <si>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</si>
  <si>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</si>
  <si>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</si>
  <si>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</si>
  <si>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</si>
  <si>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</si>
  <si>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</si>
  <si>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</si>
  <si>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</si>
  <si>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</si>
  <si>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</si>
  <si>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</si>
  <si>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</si>
  <si>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</si>
  <si>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</si>
  <si>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</si>
  <si>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</si>
  <si>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</si>
  <si>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</si>
  <si>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</si>
  <si>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</si>
  <si>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</si>
  <si>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</si>
  <si>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</si>
  <si>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</si>
  <si>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</si>
  <si>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</si>
  <si>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</si>
  <si>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</si>
  <si>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</si>
  <si>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</si>
  <si>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</si>
  <si>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</si>
  <si>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</si>
  <si>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</si>
  <si>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</si>
  <si>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</si>
  <si>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</si>
  <si>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</si>
  <si>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</si>
  <si>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</si>
  <si>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</si>
  <si>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</si>
  <si>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</si>
  <si>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</si>
  <si>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</si>
  <si>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</si>
  <si>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</si>
  <si>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</si>
  <si>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</si>
  <si>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</si>
  <si>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</si>
  <si>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</si>
  <si>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</si>
  <si>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</si>
  <si>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</si>
  <si>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</si>
  <si>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</si>
  <si>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</si>
  <si>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</si>
  <si>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</si>
  <si>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</si>
  <si>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</si>
  <si>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</si>
  <si>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</si>
  <si>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</si>
  <si>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</si>
  <si>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</si>
  <si>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</si>
  <si>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</si>
  <si>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</si>
  <si>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</si>
  <si>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</si>
  <si>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</si>
  <si>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</si>
  <si>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</si>
  <si>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</si>
  <si>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</si>
  <si>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</si>
  <si>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</si>
  <si>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</si>
  <si>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</si>
  <si>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</si>
  <si>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</si>
  <si>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</si>
  <si>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</si>
  <si>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</si>
  <si>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</si>
  <si>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</si>
  <si>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</si>
  <si>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</si>
  <si>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</si>
  <si>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</si>
  <si>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</si>
  <si>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</si>
  <si>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</si>
  <si>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</si>
  <si>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</si>
  <si>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</si>
  <si>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</si>
  <si>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</si>
  <si>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</si>
  <si>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</si>
  <si>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</si>
  <si>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</si>
  <si>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</si>
  <si>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</si>
  <si>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</si>
  <si>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</si>
  <si>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</si>
  <si>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</si>
  <si>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</si>
  <si>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</si>
  <si>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</si>
  <si>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</si>
  <si>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</si>
  <si>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</si>
  <si>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</si>
  <si>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</si>
  <si>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</si>
  <si>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</si>
  <si>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</si>
  <si>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</si>
  <si>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</si>
  <si>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</si>
  <si>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</si>
  <si>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</si>
  <si>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</si>
  <si>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</si>
  <si>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</si>
  <si>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</si>
  <si>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</si>
  <si>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</si>
  <si>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</si>
  <si>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</si>
  <si>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</si>
  <si>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</si>
  <si>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</si>
  <si>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</si>
  <si>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</si>
  <si>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</si>
  <si>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</si>
  <si>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</si>
  <si>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</si>
  <si>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</si>
  <si>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</si>
  <si>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</si>
  <si>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</si>
  <si>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</si>
  <si>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</si>
  <si>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</si>
  <si>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</si>
  <si>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</si>
  <si>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</si>
  <si>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</si>
  <si>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</si>
  <si>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</si>
  <si>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</si>
  <si>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</si>
  <si>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</si>
  <si>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</si>
  <si>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</si>
  <si>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</si>
  <si>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</si>
  <si>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</si>
  <si>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</si>
  <si>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</si>
  <si>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</si>
  <si>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</si>
  <si>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</si>
  <si>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</si>
  <si>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</si>
  <si>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</si>
  <si>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</si>
  <si>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</si>
  <si>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</si>
  <si>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</si>
  <si>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</si>
  <si>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</si>
  <si>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</si>
  <si>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</si>
  <si>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</si>
  <si>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</si>
  <si>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</si>
  <si>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</si>
  <si>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</si>
  <si>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</si>
  <si>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</si>
  <si>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</si>
  <si>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</si>
  <si>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</si>
  <si>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</si>
  <si>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</si>
  <si>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</si>
  <si>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</si>
  <si>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</si>
  <si>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</si>
  <si>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</si>
  <si>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</si>
  <si>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</si>
  <si>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</si>
  <si>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</si>
  <si>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</si>
  <si>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</si>
  <si>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</si>
  <si>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</si>
  <si>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</si>
  <si>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</si>
  <si>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</si>
  <si>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</si>
  <si>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</si>
  <si>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</si>
  <si>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</si>
  <si>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</si>
  <si>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</si>
  <si>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</si>
  <si>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</si>
  <si>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</si>
  <si>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</si>
  <si>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</si>
  <si>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</si>
  <si>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</si>
  <si>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</si>
  <si>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</si>
  <si>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</si>
  <si>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</si>
  <si>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</si>
  <si>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</si>
  <si>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</si>
  <si>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</si>
  <si>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</si>
  <si>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</si>
  <si>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</si>
  <si>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</si>
  <si>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</si>
  <si>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</si>
  <si>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</si>
  <si>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</si>
  <si>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</si>
  <si>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</si>
  <si>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</si>
  <si>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</si>
  <si>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</si>
  <si>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</si>
  <si>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</si>
  <si>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</si>
  <si>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</si>
  <si>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</si>
  <si>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</si>
  <si>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</si>
  <si>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</si>
  <si>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</si>
  <si>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</si>
  <si>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</si>
  <si>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</si>
  <si>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</si>
  <si>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</si>
  <si>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</si>
  <si>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</si>
  <si>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</si>
  <si>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</si>
  <si>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</si>
  <si>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</si>
  <si>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</si>
  <si>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</si>
  <si>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</si>
  <si>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</si>
  <si>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</si>
  <si>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</si>
  <si>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</si>
  <si>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</si>
  <si>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</si>
  <si>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</si>
  <si>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</si>
  <si>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</si>
  <si>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</si>
  <si>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</si>
  <si>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</si>
  <si>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</si>
  <si>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</si>
  <si>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</si>
  <si>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</si>
  <si>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</si>
  <si>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</si>
  <si>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</si>
  <si>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</si>
  <si>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</si>
  <si>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</si>
  <si>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</si>
  <si>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</si>
  <si>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</si>
  <si>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</si>
  <si>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</si>
  <si>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</si>
  <si>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</si>
  <si>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</si>
  <si>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</si>
  <si>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</si>
  <si>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</si>
  <si>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</si>
  <si>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</si>
  <si>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</si>
  <si>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</si>
  <si>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</si>
  <si>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</si>
  <si>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</si>
  <si>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</si>
  <si>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</si>
  <si>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</si>
  <si>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</si>
  <si>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</si>
  <si>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</si>
  <si>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</si>
  <si>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</si>
  <si>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</si>
  <si>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</si>
  <si>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</si>
  <si>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</si>
  <si>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</si>
  <si>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</si>
  <si>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</si>
  <si>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</si>
  <si>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</si>
  <si>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</si>
  <si>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</si>
  <si>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</si>
  <si>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</si>
  <si>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</si>
  <si>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</si>
  <si>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</si>
  <si>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</si>
  <si>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</si>
  <si>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</si>
  <si>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</si>
  <si>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</si>
  <si>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</si>
  <si>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</si>
  <si>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</si>
  <si>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</si>
  <si>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</si>
  <si>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</si>
  <si>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</si>
  <si>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</si>
  <si>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</si>
  <si>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</si>
  <si>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</si>
  <si>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</si>
  <si>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</si>
  <si>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</si>
  <si>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</si>
  <si>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</si>
  <si>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</si>
  <si>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</si>
  <si>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</si>
  <si>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</si>
  <si>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</si>
  <si>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</si>
  <si>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</si>
  <si>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</si>
  <si>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</si>
  <si>
    <t>4715</t>
  </si>
  <si>
    <t>COMPTE FOURNISSEURS INTERCO</t>
  </si>
  <si>
    <t>6195</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</si>
</sst>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1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7">
    <xf numFmtId="0" fontId="0" fillId="0" borderId="0"/>
    <xf numFmtId="9" fontId="58" fillId="0" borderId="0" applyFont="0" applyFill="0" applyBorder="0" applyAlignment="0" applyProtection="0"/>
    <xf numFmtId="0" fontId="22" fillId="0" borderId="1"/>
    <xf numFmtId="0" fontId="21" fillId="0" borderId="1"/>
    <xf numFmtId="9" fontId="21" fillId="0" borderId="1" applyFont="0" applyFill="0" applyBorder="0" applyAlignment="0" applyProtection="0"/>
    <xf numFmtId="166" fontId="88" fillId="0" borderId="0" applyFont="0" applyFill="0" applyBorder="0" applyAlignment="0" applyProtection="0"/>
    <xf numFmtId="0" fontId="20" fillId="0" borderId="1"/>
    <xf numFmtId="0" fontId="19" fillId="0" borderId="1"/>
    <xf numFmtId="0" fontId="18" fillId="0" borderId="1"/>
    <xf numFmtId="0" fontId="16" fillId="0" borderId="1"/>
    <xf numFmtId="0" fontId="14" fillId="0" borderId="1"/>
    <xf numFmtId="0" fontId="58" fillId="0" borderId="1"/>
    <xf numFmtId="0" fontId="93" fillId="0" borderId="1"/>
    <xf numFmtId="165" fontId="93" fillId="0" borderId="0" applyFont="0" applyFill="0" applyBorder="0" applyAlignment="0" applyProtection="0"/>
    <xf numFmtId="43" fontId="12" fillId="0" borderId="1" applyFont="0" applyFill="0" applyBorder="0" applyAlignment="0" applyProtection="0"/>
    <xf numFmtId="0" fontId="11" fillId="0" borderId="1"/>
    <xf numFmtId="0" fontId="10" fillId="0" borderId="1"/>
    <xf numFmtId="44" fontId="10" fillId="0" borderId="1" applyFont="0" applyFill="0" applyBorder="0" applyAlignment="0" applyProtection="0"/>
    <xf numFmtId="9" fontId="10" fillId="0" borderId="1" applyFont="0" applyFill="0" applyBorder="0" applyAlignment="0" applyProtection="0"/>
    <xf numFmtId="0" fontId="9" fillId="0" borderId="1"/>
    <xf numFmtId="9" fontId="9" fillId="0" borderId="1" applyFont="0" applyFill="0" applyBorder="0" applyAlignment="0" applyProtection="0"/>
    <xf numFmtId="0" fontId="6" fillId="0" borderId="1"/>
    <xf numFmtId="0" fontId="5" fillId="0" borderId="1"/>
    <xf numFmtId="0" fontId="4" fillId="0" borderId="1"/>
    <xf numFmtId="0" fontId="3" fillId="0" borderId="1"/>
    <xf numFmtId="0" fontId="2" fillId="0" borderId="1"/>
    <xf numFmtId="0" fontId="1" fillId="0" borderId="1"/>
  </cellStyleXfs>
  <cellXfs count="1436">
    <xf numFmtId="0" fontId="0" fillId="0" borderId="0" xfId="0" applyFont="1" applyAlignment="1"/>
    <xf numFmtId="0" fontId="23" fillId="0" borderId="0" xfId="0" applyFont="1"/>
    <xf numFmtId="0" fontId="24" fillId="0" borderId="0" xfId="0" applyFont="1"/>
    <xf numFmtId="0" fontId="24" fillId="2" borderId="1" xfId="0" applyFont="1" applyFill="1" applyBorder="1" applyAlignment="1">
      <alignment horizontal="center"/>
    </xf>
    <xf numFmtId="0" fontId="25" fillId="0" borderId="0" xfId="0" applyFont="1" applyAlignment="1">
      <alignment horizontal="left"/>
    </xf>
    <xf numFmtId="0" fontId="26" fillId="0" borderId="0" xfId="0" applyFont="1" applyAlignment="1">
      <alignment horizontal="center"/>
    </xf>
    <xf numFmtId="0" fontId="26" fillId="0" borderId="0" xfId="0" applyFont="1" applyAlignment="1">
      <alignment horizontal="right"/>
    </xf>
    <xf numFmtId="0" fontId="25" fillId="0" borderId="0" xfId="0" applyFont="1"/>
    <xf numFmtId="0" fontId="27" fillId="0" borderId="2" xfId="0" applyFont="1" applyBorder="1"/>
    <xf numFmtId="0" fontId="29" fillId="0" borderId="4" xfId="0" applyFont="1" applyBorder="1"/>
    <xf numFmtId="0" fontId="27" fillId="0" borderId="6" xfId="0" applyFont="1" applyBorder="1"/>
    <xf numFmtId="0" fontId="29" fillId="0" borderId="6" xfId="0" applyFont="1" applyBorder="1"/>
    <xf numFmtId="0" fontId="29" fillId="3" borderId="8" xfId="0" applyFont="1" applyFill="1" applyBorder="1"/>
    <xf numFmtId="0" fontId="29" fillId="3" borderId="10" xfId="0" applyFont="1" applyFill="1" applyBorder="1"/>
    <xf numFmtId="0" fontId="28" fillId="0" borderId="6" xfId="0" applyFont="1" applyBorder="1"/>
    <xf numFmtId="168" fontId="24" fillId="0" borderId="0" xfId="0" applyNumberFormat="1" applyFont="1"/>
    <xf numFmtId="0" fontId="24" fillId="0" borderId="6" xfId="0" applyFont="1" applyBorder="1"/>
    <xf numFmtId="169" fontId="24" fillId="0" borderId="0" xfId="0" applyNumberFormat="1" applyFont="1"/>
    <xf numFmtId="0" fontId="26" fillId="0" borderId="0" xfId="0" applyFont="1"/>
    <xf numFmtId="0" fontId="31" fillId="0" borderId="0" xfId="0" applyFont="1" applyAlignment="1">
      <alignment horizontal="center" vertical="center"/>
    </xf>
    <xf numFmtId="3" fontId="26" fillId="0" borderId="0" xfId="0" applyNumberFormat="1" applyFont="1"/>
    <xf numFmtId="0" fontId="31" fillId="0" borderId="0" xfId="0" applyFont="1"/>
    <xf numFmtId="170" fontId="32" fillId="0" borderId="0" xfId="0" applyNumberFormat="1" applyFont="1" applyAlignment="1">
      <alignment horizontal="left"/>
    </xf>
    <xf numFmtId="0" fontId="32" fillId="0" borderId="0" xfId="0" applyFont="1"/>
    <xf numFmtId="0" fontId="33" fillId="0" borderId="0" xfId="0" applyFont="1"/>
    <xf numFmtId="0" fontId="34" fillId="0" borderId="0" xfId="0" applyFont="1"/>
    <xf numFmtId="37" fontId="35" fillId="3" borderId="14" xfId="0" applyNumberFormat="1" applyFont="1" applyFill="1" applyBorder="1"/>
    <xf numFmtId="3" fontId="35" fillId="3" borderId="14" xfId="0" applyNumberFormat="1" applyFont="1" applyFill="1" applyBorder="1"/>
    <xf numFmtId="37" fontId="35" fillId="3" borderId="9" xfId="0" applyNumberFormat="1" applyFont="1" applyFill="1" applyBorder="1"/>
    <xf numFmtId="37" fontId="35" fillId="3" borderId="8" xfId="0" applyNumberFormat="1" applyFont="1" applyFill="1" applyBorder="1"/>
    <xf numFmtId="172" fontId="35" fillId="3" borderId="14" xfId="0" applyNumberFormat="1" applyFont="1" applyFill="1" applyBorder="1"/>
    <xf numFmtId="0" fontId="35" fillId="3" borderId="10" xfId="0" applyFont="1" applyFill="1" applyBorder="1"/>
    <xf numFmtId="0" fontId="35" fillId="3" borderId="11" xfId="0" applyFont="1" applyFill="1" applyBorder="1"/>
    <xf numFmtId="171" fontId="35" fillId="3" borderId="10" xfId="0" applyNumberFormat="1" applyFont="1" applyFill="1" applyBorder="1"/>
    <xf numFmtId="171" fontId="35" fillId="3" borderId="11" xfId="0" applyNumberFormat="1" applyFont="1" applyFill="1" applyBorder="1"/>
    <xf numFmtId="0" fontId="35" fillId="4" borderId="1" xfId="0" applyFont="1" applyFill="1" applyBorder="1"/>
    <xf numFmtId="0" fontId="34" fillId="0" borderId="0" xfId="0" applyFont="1" applyAlignment="1">
      <alignment horizontal="right"/>
    </xf>
    <xf numFmtId="37" fontId="34" fillId="0" borderId="0" xfId="0" applyNumberFormat="1" applyFont="1"/>
    <xf numFmtId="0" fontId="35" fillId="3" borderId="16" xfId="0" applyFont="1" applyFill="1" applyBorder="1"/>
    <xf numFmtId="0" fontId="35" fillId="3" borderId="17" xfId="0" applyFont="1" applyFill="1" applyBorder="1" applyAlignment="1">
      <alignment horizontal="center"/>
    </xf>
    <xf numFmtId="171" fontId="35" fillId="3" borderId="17" xfId="0" applyNumberFormat="1" applyFont="1" applyFill="1" applyBorder="1"/>
    <xf numFmtId="37" fontId="35" fillId="3" borderId="18" xfId="0" applyNumberFormat="1" applyFont="1" applyFill="1" applyBorder="1"/>
    <xf numFmtId="0" fontId="35" fillId="3" borderId="16" xfId="0" applyFont="1" applyFill="1" applyBorder="1" applyAlignment="1">
      <alignment horizontal="center"/>
    </xf>
    <xf numFmtId="0" fontId="34" fillId="3" borderId="13" xfId="0" applyFont="1" applyFill="1" applyBorder="1"/>
    <xf numFmtId="0" fontId="34" fillId="3" borderId="16" xfId="0" applyFont="1" applyFill="1" applyBorder="1"/>
    <xf numFmtId="37" fontId="35" fillId="0" borderId="0" xfId="0" applyNumberFormat="1" applyFont="1"/>
    <xf numFmtId="37" fontId="35" fillId="3" borderId="19" xfId="0" applyNumberFormat="1" applyFont="1" applyFill="1" applyBorder="1"/>
    <xf numFmtId="0" fontId="34" fillId="4" borderId="1" xfId="0" applyFont="1" applyFill="1" applyBorder="1"/>
    <xf numFmtId="37" fontId="35" fillId="4" borderId="15" xfId="0" applyNumberFormat="1" applyFont="1" applyFill="1" applyBorder="1"/>
    <xf numFmtId="0" fontId="34" fillId="4" borderId="12" xfId="0" applyFont="1" applyFill="1" applyBorder="1"/>
    <xf numFmtId="0" fontId="34" fillId="4" borderId="13" xfId="0" applyFont="1" applyFill="1" applyBorder="1"/>
    <xf numFmtId="0" fontId="34" fillId="4" borderId="22" xfId="0" applyFont="1" applyFill="1" applyBorder="1"/>
    <xf numFmtId="37" fontId="35" fillId="4" borderId="19" xfId="0" applyNumberFormat="1" applyFont="1" applyFill="1" applyBorder="1"/>
    <xf numFmtId="0" fontId="38" fillId="0" borderId="0" xfId="0" applyFont="1"/>
    <xf numFmtId="0" fontId="39" fillId="0" borderId="0" xfId="0" applyFont="1"/>
    <xf numFmtId="37" fontId="39" fillId="0" borderId="0" xfId="0" applyNumberFormat="1" applyFont="1"/>
    <xf numFmtId="0" fontId="35" fillId="0" borderId="0" xfId="0" applyFont="1"/>
    <xf numFmtId="37" fontId="32" fillId="0" borderId="0" xfId="0" applyNumberFormat="1" applyFont="1"/>
    <xf numFmtId="37" fontId="35" fillId="4" borderId="14" xfId="0" applyNumberFormat="1" applyFont="1" applyFill="1" applyBorder="1"/>
    <xf numFmtId="37" fontId="35" fillId="4" borderId="9" xfId="0" applyNumberFormat="1" applyFont="1" applyFill="1" applyBorder="1"/>
    <xf numFmtId="37" fontId="35" fillId="4" borderId="8" xfId="0" applyNumberFormat="1" applyFont="1" applyFill="1" applyBorder="1"/>
    <xf numFmtId="171" fontId="35" fillId="4" borderId="8" xfId="0" applyNumberFormat="1" applyFont="1" applyFill="1" applyBorder="1"/>
    <xf numFmtId="37" fontId="35" fillId="4" borderId="22" xfId="0" applyNumberFormat="1" applyFont="1" applyFill="1" applyBorder="1"/>
    <xf numFmtId="171" fontId="35" fillId="4" borderId="19" xfId="0" applyNumberFormat="1" applyFont="1" applyFill="1" applyBorder="1"/>
    <xf numFmtId="37" fontId="35" fillId="4" borderId="13" xfId="0" applyNumberFormat="1" applyFont="1" applyFill="1" applyBorder="1"/>
    <xf numFmtId="39" fontId="35" fillId="4" borderId="22" xfId="0" applyNumberFormat="1" applyFont="1" applyFill="1" applyBorder="1"/>
    <xf numFmtId="37" fontId="35" fillId="4" borderId="24" xfId="0" applyNumberFormat="1" applyFont="1" applyFill="1" applyBorder="1"/>
    <xf numFmtId="172" fontId="35" fillId="4" borderId="24" xfId="0" applyNumberFormat="1" applyFont="1" applyFill="1" applyBorder="1"/>
    <xf numFmtId="37" fontId="35" fillId="4" borderId="25" xfId="0" applyNumberFormat="1" applyFont="1" applyFill="1" applyBorder="1"/>
    <xf numFmtId="37" fontId="35" fillId="4" borderId="23" xfId="0" applyNumberFormat="1" applyFont="1" applyFill="1" applyBorder="1"/>
    <xf numFmtId="171" fontId="35" fillId="3" borderId="8" xfId="0" applyNumberFormat="1" applyFont="1" applyFill="1" applyBorder="1"/>
    <xf numFmtId="171" fontId="35" fillId="3" borderId="14" xfId="0" applyNumberFormat="1" applyFont="1" applyFill="1" applyBorder="1"/>
    <xf numFmtId="171" fontId="35" fillId="3" borderId="26" xfId="0" applyNumberFormat="1" applyFont="1" applyFill="1" applyBorder="1"/>
    <xf numFmtId="37" fontId="35" fillId="3" borderId="27" xfId="0" applyNumberFormat="1" applyFont="1" applyFill="1" applyBorder="1"/>
    <xf numFmtId="37" fontId="35" fillId="3" borderId="29" xfId="0" applyNumberFormat="1" applyFont="1" applyFill="1" applyBorder="1"/>
    <xf numFmtId="172" fontId="35" fillId="3" borderId="29" xfId="0" applyNumberFormat="1" applyFont="1" applyFill="1" applyBorder="1"/>
    <xf numFmtId="37" fontId="35" fillId="3" borderId="30" xfId="0" applyNumberFormat="1" applyFont="1" applyFill="1" applyBorder="1"/>
    <xf numFmtId="37" fontId="35" fillId="3" borderId="28" xfId="0" applyNumberFormat="1" applyFont="1" applyFill="1" applyBorder="1"/>
    <xf numFmtId="0" fontId="34" fillId="3" borderId="10" xfId="0" applyFont="1" applyFill="1" applyBorder="1"/>
    <xf numFmtId="0" fontId="42" fillId="0" borderId="0" xfId="0" applyFont="1"/>
    <xf numFmtId="0" fontId="31" fillId="0" borderId="0" xfId="0" applyFont="1" applyAlignment="1">
      <alignment horizontal="right" vertical="center"/>
    </xf>
    <xf numFmtId="0" fontId="43" fillId="3" borderId="22" xfId="0" applyFont="1" applyFill="1" applyBorder="1"/>
    <xf numFmtId="37" fontId="43" fillId="3" borderId="32" xfId="0" applyNumberFormat="1" applyFont="1" applyFill="1" applyBorder="1"/>
    <xf numFmtId="37" fontId="43" fillId="3" borderId="33" xfId="0" applyNumberFormat="1" applyFont="1" applyFill="1" applyBorder="1"/>
    <xf numFmtId="37" fontId="43" fillId="3" borderId="22" xfId="0" applyNumberFormat="1" applyFont="1" applyFill="1" applyBorder="1"/>
    <xf numFmtId="171" fontId="43" fillId="3" borderId="22" xfId="0" applyNumberFormat="1" applyFont="1" applyFill="1" applyBorder="1"/>
    <xf numFmtId="37" fontId="43" fillId="3" borderId="34" xfId="0" applyNumberFormat="1" applyFont="1" applyFill="1" applyBorder="1"/>
    <xf numFmtId="37" fontId="37" fillId="0" borderId="35" xfId="0" applyNumberFormat="1" applyFont="1" applyBorder="1"/>
    <xf numFmtId="0" fontId="43" fillId="3" borderId="17" xfId="0" applyFont="1" applyFill="1" applyBorder="1"/>
    <xf numFmtId="171" fontId="43" fillId="3" borderId="17" xfId="0" applyNumberFormat="1" applyFont="1" applyFill="1" applyBorder="1"/>
    <xf numFmtId="37" fontId="43" fillId="3" borderId="21" xfId="0" applyNumberFormat="1" applyFont="1" applyFill="1" applyBorder="1"/>
    <xf numFmtId="171" fontId="43" fillId="3" borderId="20" xfId="0" applyNumberFormat="1" applyFont="1" applyFill="1" applyBorder="1"/>
    <xf numFmtId="0" fontId="43" fillId="3" borderId="20" xfId="0" applyFont="1" applyFill="1" applyBorder="1"/>
    <xf numFmtId="37" fontId="43" fillId="3" borderId="17" xfId="0" applyNumberFormat="1" applyFont="1" applyFill="1" applyBorder="1"/>
    <xf numFmtId="0" fontId="43" fillId="3" borderId="36" xfId="0" applyFont="1" applyFill="1" applyBorder="1"/>
    <xf numFmtId="166" fontId="32" fillId="0" borderId="0" xfId="0" applyNumberFormat="1" applyFont="1"/>
    <xf numFmtId="166" fontId="42" fillId="0" borderId="0" xfId="0" applyNumberFormat="1" applyFont="1"/>
    <xf numFmtId="171" fontId="37" fillId="0" borderId="35" xfId="0" applyNumberFormat="1" applyFont="1" applyBorder="1"/>
    <xf numFmtId="172" fontId="43" fillId="3" borderId="17" xfId="0" applyNumberFormat="1" applyFont="1" applyFill="1" applyBorder="1"/>
    <xf numFmtId="37" fontId="43" fillId="3" borderId="20" xfId="0" applyNumberFormat="1" applyFont="1" applyFill="1" applyBorder="1"/>
    <xf numFmtId="37" fontId="43" fillId="3" borderId="36" xfId="0" applyNumberFormat="1" applyFont="1" applyFill="1" applyBorder="1"/>
    <xf numFmtId="37" fontId="42" fillId="0" borderId="0" xfId="0" applyNumberFormat="1" applyFont="1"/>
    <xf numFmtId="169" fontId="42" fillId="0" borderId="0" xfId="0" applyNumberFormat="1" applyFont="1"/>
    <xf numFmtId="0" fontId="37" fillId="3" borderId="17" xfId="0" applyFont="1" applyFill="1" applyBorder="1"/>
    <xf numFmtId="0" fontId="42" fillId="4" borderId="1" xfId="0" applyFont="1" applyFill="1" applyBorder="1"/>
    <xf numFmtId="0" fontId="37" fillId="0" borderId="35" xfId="0" applyFont="1" applyBorder="1"/>
    <xf numFmtId="37" fontId="37" fillId="4" borderId="37" xfId="0" applyNumberFormat="1" applyFont="1" applyFill="1" applyBorder="1"/>
    <xf numFmtId="0" fontId="43" fillId="4" borderId="24" xfId="0" applyFont="1" applyFill="1" applyBorder="1"/>
    <xf numFmtId="37" fontId="43" fillId="4" borderId="24" xfId="0" applyNumberFormat="1" applyFont="1" applyFill="1" applyBorder="1"/>
    <xf numFmtId="171" fontId="37" fillId="3" borderId="20" xfId="0" applyNumberFormat="1" applyFont="1" applyFill="1" applyBorder="1"/>
    <xf numFmtId="171" fontId="37" fillId="3" borderId="17" xfId="0" applyNumberFormat="1" applyFont="1" applyFill="1" applyBorder="1"/>
    <xf numFmtId="37" fontId="37" fillId="3" borderId="36" xfId="0" applyNumberFormat="1" applyFont="1" applyFill="1" applyBorder="1"/>
    <xf numFmtId="0" fontId="37" fillId="4" borderId="24" xfId="0" applyFont="1" applyFill="1" applyBorder="1"/>
    <xf numFmtId="37" fontId="37" fillId="4" borderId="24" xfId="0" applyNumberFormat="1" applyFont="1" applyFill="1" applyBorder="1"/>
    <xf numFmtId="37" fontId="37" fillId="4" borderId="38" xfId="0" applyNumberFormat="1" applyFont="1" applyFill="1" applyBorder="1"/>
    <xf numFmtId="37" fontId="37" fillId="4" borderId="1" xfId="0" applyNumberFormat="1" applyFont="1" applyFill="1" applyBorder="1"/>
    <xf numFmtId="171" fontId="37" fillId="4" borderId="1" xfId="0" applyNumberFormat="1" applyFont="1" applyFill="1" applyBorder="1"/>
    <xf numFmtId="171" fontId="37" fillId="4" borderId="38" xfId="0" applyNumberFormat="1" applyFont="1" applyFill="1" applyBorder="1"/>
    <xf numFmtId="171" fontId="37" fillId="4" borderId="24" xfId="0" applyNumberFormat="1" applyFont="1" applyFill="1" applyBorder="1"/>
    <xf numFmtId="37" fontId="37" fillId="4" borderId="42" xfId="0" applyNumberFormat="1" applyFont="1" applyFill="1" applyBorder="1"/>
    <xf numFmtId="39" fontId="37" fillId="0" borderId="0" xfId="0" applyNumberFormat="1" applyFont="1"/>
    <xf numFmtId="37" fontId="42" fillId="0" borderId="35" xfId="0" applyNumberFormat="1" applyFont="1" applyBorder="1"/>
    <xf numFmtId="0" fontId="42" fillId="0" borderId="35" xfId="0" applyFont="1" applyBorder="1"/>
    <xf numFmtId="0" fontId="42" fillId="0" borderId="40" xfId="0" applyFont="1" applyBorder="1"/>
    <xf numFmtId="0" fontId="44" fillId="0" borderId="0" xfId="0" applyFont="1"/>
    <xf numFmtId="37" fontId="44" fillId="0" borderId="0" xfId="0" applyNumberFormat="1" applyFont="1"/>
    <xf numFmtId="37" fontId="43" fillId="0" borderId="0" xfId="0" applyNumberFormat="1" applyFont="1"/>
    <xf numFmtId="37" fontId="45" fillId="0" borderId="0" xfId="0" applyNumberFormat="1" applyFont="1"/>
    <xf numFmtId="0" fontId="44" fillId="4" borderId="1" xfId="0" applyFont="1" applyFill="1" applyBorder="1"/>
    <xf numFmtId="37" fontId="42" fillId="4" borderId="1" xfId="0" applyNumberFormat="1" applyFont="1" applyFill="1" applyBorder="1"/>
    <xf numFmtId="0" fontId="46" fillId="4" borderId="1" xfId="0" applyFont="1" applyFill="1" applyBorder="1"/>
    <xf numFmtId="37" fontId="44" fillId="4" borderId="1" xfId="0" applyNumberFormat="1" applyFont="1" applyFill="1" applyBorder="1"/>
    <xf numFmtId="0" fontId="47" fillId="4" borderId="1" xfId="0" applyFont="1" applyFill="1" applyBorder="1" applyAlignment="1">
      <alignment horizontal="center" vertical="center"/>
    </xf>
    <xf numFmtId="0" fontId="42" fillId="4" borderId="1" xfId="0" applyFont="1" applyFill="1" applyBorder="1" applyAlignment="1">
      <alignment horizontal="center" vertical="center"/>
    </xf>
    <xf numFmtId="170" fontId="48" fillId="4" borderId="1" xfId="0" applyNumberFormat="1" applyFont="1" applyFill="1" applyBorder="1" applyAlignment="1">
      <alignment horizontal="right"/>
    </xf>
    <xf numFmtId="0" fontId="44" fillId="4" borderId="1" xfId="0" applyFont="1" applyFill="1" applyBorder="1" applyAlignment="1">
      <alignment horizontal="center"/>
    </xf>
    <xf numFmtId="0" fontId="42" fillId="4" borderId="1" xfId="0" applyFont="1" applyFill="1" applyBorder="1" applyAlignment="1">
      <alignment horizontal="center"/>
    </xf>
    <xf numFmtId="0" fontId="48" fillId="4" borderId="1" xfId="0" applyFont="1" applyFill="1" applyBorder="1" applyAlignment="1">
      <alignment horizontal="center"/>
    </xf>
    <xf numFmtId="0" fontId="48" fillId="4" borderId="1" xfId="0" applyFont="1" applyFill="1" applyBorder="1"/>
    <xf numFmtId="171" fontId="42" fillId="4" borderId="1" xfId="0" applyNumberFormat="1" applyFont="1" applyFill="1" applyBorder="1"/>
    <xf numFmtId="9" fontId="42" fillId="4" borderId="1" xfId="0" applyNumberFormat="1" applyFont="1" applyFill="1" applyBorder="1"/>
    <xf numFmtId="171" fontId="44" fillId="4" borderId="1" xfId="0" applyNumberFormat="1" applyFont="1" applyFill="1" applyBorder="1"/>
    <xf numFmtId="0" fontId="49" fillId="4" borderId="1" xfId="0" applyFont="1" applyFill="1" applyBorder="1"/>
    <xf numFmtId="0" fontId="47" fillId="4" borderId="1" xfId="0" applyFont="1" applyFill="1" applyBorder="1" applyAlignment="1">
      <alignment horizontal="center"/>
    </xf>
    <xf numFmtId="170" fontId="42" fillId="4" borderId="1" xfId="0" applyNumberFormat="1" applyFont="1" applyFill="1" applyBorder="1" applyAlignment="1">
      <alignment horizontal="center"/>
    </xf>
    <xf numFmtId="0" fontId="50" fillId="4" borderId="1" xfId="0" applyFont="1" applyFill="1" applyBorder="1" applyAlignment="1">
      <alignment horizontal="center"/>
    </xf>
    <xf numFmtId="0" fontId="48" fillId="4" borderId="1" xfId="0" applyFont="1" applyFill="1" applyBorder="1" applyAlignment="1">
      <alignment horizontal="left"/>
    </xf>
    <xf numFmtId="0" fontId="51" fillId="4" borderId="1" xfId="0" applyFont="1" applyFill="1" applyBorder="1"/>
    <xf numFmtId="0" fontId="52" fillId="0" borderId="0" xfId="0" applyFont="1" applyAlignment="1">
      <alignment horizontal="center" vertical="top"/>
    </xf>
    <xf numFmtId="0" fontId="53" fillId="6" borderId="43" xfId="0" applyFont="1" applyFill="1" applyBorder="1" applyAlignment="1">
      <alignment horizontal="center" vertical="center" wrapText="1"/>
    </xf>
    <xf numFmtId="1" fontId="24" fillId="0" borderId="0" xfId="0" applyNumberFormat="1" applyFont="1" applyAlignment="1">
      <alignment horizontal="left" vertical="top"/>
    </xf>
    <xf numFmtId="49" fontId="24" fillId="0" borderId="0" xfId="0" applyNumberFormat="1" applyFont="1" applyAlignment="1">
      <alignment horizontal="left" vertical="top"/>
    </xf>
    <xf numFmtId="4" fontId="24" fillId="0" borderId="0" xfId="0" applyNumberFormat="1" applyFont="1" applyAlignment="1">
      <alignment horizontal="center" vertical="top"/>
    </xf>
    <xf numFmtId="0" fontId="24" fillId="7" borderId="1" xfId="0" applyFont="1" applyFill="1" applyBorder="1" applyAlignment="1">
      <alignment horizontal="center"/>
    </xf>
    <xf numFmtId="0" fontId="32" fillId="0" borderId="0" xfId="0" applyFont="1" applyAlignment="1">
      <alignment horizontal="center"/>
    </xf>
    <xf numFmtId="0" fontId="0" fillId="0" borderId="0" xfId="0" applyFont="1" applyAlignment="1">
      <alignment horizontal="center"/>
    </xf>
    <xf numFmtId="0" fontId="23" fillId="9" borderId="1" xfId="0" applyFont="1" applyFill="1" applyBorder="1"/>
    <xf numFmtId="0" fontId="54" fillId="0" borderId="0" xfId="0" applyFont="1"/>
    <xf numFmtId="0" fontId="24" fillId="9" borderId="1" xfId="0" applyFont="1" applyFill="1" applyBorder="1"/>
    <xf numFmtId="0" fontId="24" fillId="0" borderId="0" xfId="0" applyFont="1"/>
    <xf numFmtId="39" fontId="55" fillId="10" borderId="47" xfId="0" applyNumberFormat="1" applyFont="1" applyFill="1" applyBorder="1" applyAlignment="1">
      <alignment horizontal="left" vertical="top"/>
    </xf>
    <xf numFmtId="0" fontId="56" fillId="10" borderId="47" xfId="0" applyFont="1" applyFill="1" applyBorder="1" applyAlignment="1">
      <alignment horizontal="left" vertical="top"/>
    </xf>
    <xf numFmtId="1" fontId="56" fillId="10" borderId="47" xfId="0" applyNumberFormat="1" applyFont="1" applyFill="1" applyBorder="1" applyAlignment="1">
      <alignment horizontal="left" vertical="top"/>
    </xf>
    <xf numFmtId="49" fontId="55" fillId="10" borderId="47" xfId="0" applyNumberFormat="1" applyFont="1" applyFill="1" applyBorder="1" applyAlignment="1">
      <alignment horizontal="left" vertical="top"/>
    </xf>
    <xf numFmtId="49" fontId="55" fillId="10" borderId="44" xfId="0" applyNumberFormat="1" applyFont="1" applyFill="1" applyBorder="1" applyAlignment="1">
      <alignment horizontal="left" vertical="top"/>
    </xf>
    <xf numFmtId="0" fontId="55" fillId="10" borderId="47" xfId="0" applyFont="1" applyFill="1" applyBorder="1" applyAlignment="1">
      <alignment horizontal="left" vertical="top"/>
    </xf>
    <xf numFmtId="0" fontId="55" fillId="8" borderId="47" xfId="0" applyFont="1" applyFill="1" applyBorder="1" applyAlignment="1">
      <alignment horizontal="left" vertical="top"/>
    </xf>
    <xf numFmtId="0" fontId="56" fillId="5" borderId="47" xfId="0" applyFont="1" applyFill="1" applyBorder="1" applyAlignment="1">
      <alignment horizontal="left" vertical="top"/>
    </xf>
    <xf numFmtId="0" fontId="55" fillId="5" borderId="47" xfId="0" applyFont="1" applyFill="1" applyBorder="1" applyAlignment="1">
      <alignment horizontal="left" vertical="top"/>
    </xf>
    <xf numFmtId="0" fontId="55" fillId="5" borderId="1" xfId="0" applyFont="1" applyFill="1" applyBorder="1" applyAlignment="1">
      <alignment horizontal="left" vertical="top"/>
    </xf>
    <xf numFmtId="0" fontId="56" fillId="10" borderId="1" xfId="0" applyFont="1" applyFill="1" applyBorder="1" applyAlignment="1">
      <alignment horizontal="left" vertical="top"/>
    </xf>
    <xf numFmtId="3" fontId="34" fillId="0" borderId="50" xfId="0" applyNumberFormat="1" applyFont="1" applyBorder="1"/>
    <xf numFmtId="0" fontId="34" fillId="0" borderId="1" xfId="0" applyFont="1" applyBorder="1"/>
    <xf numFmtId="3" fontId="34" fillId="0" borderId="1" xfId="0" applyNumberFormat="1" applyFont="1" applyBorder="1"/>
    <xf numFmtId="3" fontId="34" fillId="0" borderId="15" xfId="0" applyNumberFormat="1" applyFont="1" applyBorder="1"/>
    <xf numFmtId="3" fontId="34" fillId="0" borderId="51" xfId="0" applyNumberFormat="1" applyFont="1" applyBorder="1"/>
    <xf numFmtId="3" fontId="34" fillId="0" borderId="12" xfId="0" applyNumberFormat="1" applyFont="1" applyBorder="1"/>
    <xf numFmtId="3" fontId="34" fillId="0" borderId="52" xfId="0" applyNumberFormat="1" applyFont="1" applyBorder="1"/>
    <xf numFmtId="3" fontId="34" fillId="0" borderId="53" xfId="0" applyNumberFormat="1" applyFont="1" applyBorder="1"/>
    <xf numFmtId="2" fontId="34" fillId="0" borderId="1" xfId="0" applyNumberFormat="1" applyFont="1" applyBorder="1"/>
    <xf numFmtId="3" fontId="34" fillId="0" borderId="54" xfId="0" applyNumberFormat="1" applyFont="1" applyBorder="1"/>
    <xf numFmtId="0" fontId="0" fillId="0" borderId="0" xfId="0" applyFont="1" applyAlignment="1"/>
    <xf numFmtId="0" fontId="24" fillId="0" borderId="0" xfId="0" applyFont="1" applyAlignment="1">
      <alignment horizontal="center"/>
    </xf>
    <xf numFmtId="0" fontId="0" fillId="0" borderId="0" xfId="0" applyFont="1" applyAlignment="1"/>
    <xf numFmtId="37" fontId="34" fillId="0" borderId="53" xfId="0" applyNumberFormat="1" applyFont="1" applyBorder="1"/>
    <xf numFmtId="172" fontId="34" fillId="0" borderId="53" xfId="0" applyNumberFormat="1" applyFont="1" applyBorder="1"/>
    <xf numFmtId="171" fontId="34" fillId="0" borderId="50" xfId="0" applyNumberFormat="1" applyFont="1" applyBorder="1"/>
    <xf numFmtId="0" fontId="34" fillId="0" borderId="53" xfId="0" applyFont="1" applyBorder="1" applyAlignment="1">
      <alignment horizontal="center"/>
    </xf>
    <xf numFmtId="0" fontId="34" fillId="0" borderId="50" xfId="0" applyFont="1" applyBorder="1" applyAlignment="1">
      <alignment horizontal="center"/>
    </xf>
    <xf numFmtId="171" fontId="34" fillId="0" borderId="53" xfId="0" applyNumberFormat="1" applyFont="1" applyBorder="1"/>
    <xf numFmtId="37" fontId="34" fillId="0" borderId="50" xfId="0" applyNumberFormat="1" applyFont="1" applyBorder="1"/>
    <xf numFmtId="37" fontId="34" fillId="0" borderId="1" xfId="0" applyNumberFormat="1" applyFont="1" applyBorder="1"/>
    <xf numFmtId="37" fontId="35" fillId="0" borderId="24" xfId="0" applyNumberFormat="1" applyFont="1" applyBorder="1"/>
    <xf numFmtId="37" fontId="34" fillId="0" borderId="55" xfId="0" applyNumberFormat="1" applyFont="1" applyBorder="1"/>
    <xf numFmtId="37" fontId="35" fillId="0" borderId="56" xfId="0" applyNumberFormat="1" applyFont="1" applyBorder="1"/>
    <xf numFmtId="37" fontId="34" fillId="0" borderId="56" xfId="0" applyNumberFormat="1" applyFont="1" applyBorder="1"/>
    <xf numFmtId="37" fontId="34" fillId="0" borderId="58" xfId="0" applyNumberFormat="1" applyFont="1" applyBorder="1"/>
    <xf numFmtId="37" fontId="34" fillId="11" borderId="1" xfId="0" applyNumberFormat="1" applyFont="1" applyFill="1" applyBorder="1"/>
    <xf numFmtId="171" fontId="35" fillId="3" borderId="1" xfId="0" applyNumberFormat="1" applyFont="1" applyFill="1" applyBorder="1"/>
    <xf numFmtId="0" fontId="34" fillId="0" borderId="60" xfId="0" applyFont="1" applyBorder="1" applyAlignment="1">
      <alignment horizontal="center"/>
    </xf>
    <xf numFmtId="0" fontId="34" fillId="0" borderId="59" xfId="0" applyFont="1" applyBorder="1" applyAlignment="1">
      <alignment horizontal="center"/>
    </xf>
    <xf numFmtId="0" fontId="34" fillId="0" borderId="61" xfId="0" applyFont="1" applyBorder="1" applyAlignment="1">
      <alignment horizontal="center"/>
    </xf>
    <xf numFmtId="37" fontId="34" fillId="11" borderId="62" xfId="0" applyNumberFormat="1" applyFont="1" applyFill="1" applyBorder="1"/>
    <xf numFmtId="37" fontId="34" fillId="0" borderId="61" xfId="0" applyNumberFormat="1" applyFont="1" applyBorder="1"/>
    <xf numFmtId="171" fontId="34" fillId="0" borderId="1" xfId="0" applyNumberFormat="1" applyFont="1" applyBorder="1"/>
    <xf numFmtId="37" fontId="34" fillId="0" borderId="52" xfId="0" applyNumberFormat="1" applyFont="1" applyBorder="1"/>
    <xf numFmtId="0" fontId="34" fillId="0" borderId="52" xfId="0" applyFont="1" applyBorder="1" applyAlignment="1">
      <alignment horizontal="center"/>
    </xf>
    <xf numFmtId="171" fontId="37" fillId="0" borderId="56" xfId="0" applyNumberFormat="1" applyFont="1" applyBorder="1"/>
    <xf numFmtId="171" fontId="37" fillId="0" borderId="55" xfId="0" applyNumberFormat="1" applyFont="1" applyBorder="1"/>
    <xf numFmtId="171" fontId="37" fillId="0" borderId="63" xfId="0" applyNumberFormat="1" applyFont="1" applyBorder="1"/>
    <xf numFmtId="171" fontId="63" fillId="0" borderId="55" xfId="0" applyNumberFormat="1" applyFont="1" applyBorder="1"/>
    <xf numFmtId="37" fontId="43" fillId="3" borderId="64" xfId="0" applyNumberFormat="1" applyFont="1" applyFill="1" applyBorder="1"/>
    <xf numFmtId="37" fontId="43" fillId="3" borderId="65" xfId="0" applyNumberFormat="1" applyFont="1" applyFill="1" applyBorder="1"/>
    <xf numFmtId="0" fontId="42" fillId="0" borderId="1" xfId="0" applyFont="1" applyBorder="1"/>
    <xf numFmtId="3" fontId="34" fillId="11" borderId="67" xfId="0" applyNumberFormat="1" applyFont="1" applyFill="1" applyBorder="1"/>
    <xf numFmtId="3" fontId="34" fillId="11" borderId="68" xfId="0" applyNumberFormat="1" applyFont="1" applyFill="1" applyBorder="1"/>
    <xf numFmtId="0" fontId="34" fillId="0" borderId="0" xfId="0" applyFont="1" applyFill="1"/>
    <xf numFmtId="37" fontId="35" fillId="0" borderId="24" xfId="0" applyNumberFormat="1" applyFont="1" applyFill="1" applyBorder="1"/>
    <xf numFmtId="172" fontId="35" fillId="0" borderId="24" xfId="0" applyNumberFormat="1" applyFont="1" applyFill="1" applyBorder="1"/>
    <xf numFmtId="37" fontId="35" fillId="0" borderId="25" xfId="0" applyNumberFormat="1" applyFont="1" applyFill="1" applyBorder="1"/>
    <xf numFmtId="37" fontId="35" fillId="0" borderId="23" xfId="0" applyNumberFormat="1" applyFont="1" applyFill="1" applyBorder="1"/>
    <xf numFmtId="0" fontId="34" fillId="0" borderId="12" xfId="0" applyFont="1" applyFill="1" applyBorder="1"/>
    <xf numFmtId="37" fontId="34" fillId="0" borderId="1" xfId="0" applyNumberFormat="1" applyFont="1" applyFill="1" applyBorder="1"/>
    <xf numFmtId="37" fontId="34" fillId="0" borderId="0" xfId="0" applyNumberFormat="1" applyFont="1" applyFill="1"/>
    <xf numFmtId="37" fontId="34" fillId="0" borderId="12" xfId="0" applyNumberFormat="1" applyFont="1" applyFill="1" applyBorder="1"/>
    <xf numFmtId="3" fontId="34" fillId="0" borderId="1" xfId="0" applyNumberFormat="1" applyFont="1" applyFill="1" applyBorder="1"/>
    <xf numFmtId="37" fontId="34" fillId="0" borderId="15" xfId="0" applyNumberFormat="1" applyFont="1" applyFill="1" applyBorder="1"/>
    <xf numFmtId="0" fontId="34" fillId="0" borderId="1" xfId="0" applyFont="1" applyFill="1" applyBorder="1"/>
    <xf numFmtId="172" fontId="34" fillId="0" borderId="1" xfId="0" applyNumberFormat="1" applyFont="1" applyFill="1" applyBorder="1"/>
    <xf numFmtId="171" fontId="34" fillId="0" borderId="15" xfId="0" applyNumberFormat="1" applyFont="1" applyFill="1" applyBorder="1"/>
    <xf numFmtId="37" fontId="35" fillId="0" borderId="12" xfId="0" applyNumberFormat="1" applyFont="1" applyFill="1" applyBorder="1"/>
    <xf numFmtId="172" fontId="35" fillId="0" borderId="1" xfId="0" applyNumberFormat="1" applyFont="1" applyFill="1" applyBorder="1"/>
    <xf numFmtId="37" fontId="35" fillId="0" borderId="15" xfId="0" applyNumberFormat="1" applyFont="1" applyFill="1" applyBorder="1"/>
    <xf numFmtId="37" fontId="35" fillId="0" borderId="1" xfId="0" applyNumberFormat="1" applyFont="1" applyFill="1" applyBorder="1"/>
    <xf numFmtId="0" fontId="35" fillId="0" borderId="12" xfId="0" applyFont="1" applyFill="1" applyBorder="1"/>
    <xf numFmtId="0" fontId="35" fillId="0" borderId="1" xfId="0" applyFont="1" applyFill="1" applyBorder="1"/>
    <xf numFmtId="171" fontId="35" fillId="0" borderId="15" xfId="0" applyNumberFormat="1" applyFont="1" applyFill="1" applyBorder="1"/>
    <xf numFmtId="171" fontId="35" fillId="0" borderId="12" xfId="0" applyNumberFormat="1" applyFont="1" applyFill="1" applyBorder="1"/>
    <xf numFmtId="3" fontId="34" fillId="0" borderId="50" xfId="0" applyNumberFormat="1" applyFont="1" applyFill="1" applyBorder="1"/>
    <xf numFmtId="3" fontId="34" fillId="0" borderId="51" xfId="0" applyNumberFormat="1" applyFont="1" applyFill="1" applyBorder="1"/>
    <xf numFmtId="37" fontId="60" fillId="0" borderId="1" xfId="0" applyNumberFormat="1" applyFont="1" applyFill="1" applyBorder="1"/>
    <xf numFmtId="0" fontId="43" fillId="0" borderId="1" xfId="0" applyFont="1" applyFill="1" applyBorder="1"/>
    <xf numFmtId="37" fontId="37" fillId="0" borderId="37" xfId="0" applyNumberFormat="1" applyFont="1" applyFill="1" applyBorder="1"/>
    <xf numFmtId="171" fontId="43" fillId="0" borderId="24" xfId="0" applyNumberFormat="1" applyFont="1" applyFill="1" applyBorder="1"/>
    <xf numFmtId="0" fontId="43" fillId="0" borderId="24" xfId="0" applyFont="1" applyFill="1" applyBorder="1"/>
    <xf numFmtId="37" fontId="43" fillId="0" borderId="38" xfId="0" applyNumberFormat="1" applyFont="1" applyFill="1" applyBorder="1"/>
    <xf numFmtId="171" fontId="43" fillId="0" borderId="38" xfId="0" applyNumberFormat="1" applyFont="1" applyFill="1" applyBorder="1"/>
    <xf numFmtId="37" fontId="43" fillId="0" borderId="24" xfId="0" applyNumberFormat="1" applyFont="1" applyFill="1" applyBorder="1"/>
    <xf numFmtId="37" fontId="37" fillId="0" borderId="35" xfId="0" applyNumberFormat="1" applyFont="1" applyFill="1" applyBorder="1"/>
    <xf numFmtId="171" fontId="43" fillId="0" borderId="1" xfId="0" applyNumberFormat="1" applyFont="1" applyFill="1" applyBorder="1"/>
    <xf numFmtId="37" fontId="43" fillId="0" borderId="39" xfId="0" applyNumberFormat="1" applyFont="1" applyFill="1" applyBorder="1"/>
    <xf numFmtId="171" fontId="37" fillId="0" borderId="35" xfId="0" applyNumberFormat="1" applyFont="1" applyFill="1" applyBorder="1"/>
    <xf numFmtId="171" fontId="43" fillId="0" borderId="39" xfId="0" applyNumberFormat="1" applyFont="1" applyFill="1" applyBorder="1"/>
    <xf numFmtId="37" fontId="37" fillId="0" borderId="40" xfId="0" applyNumberFormat="1" applyFont="1" applyFill="1" applyBorder="1"/>
    <xf numFmtId="37" fontId="43" fillId="0" borderId="1" xfId="0" applyNumberFormat="1" applyFont="1" applyFill="1" applyBorder="1"/>
    <xf numFmtId="171" fontId="37" fillId="0" borderId="55" xfId="0" applyNumberFormat="1" applyFont="1" applyFill="1" applyBorder="1"/>
    <xf numFmtId="0" fontId="34" fillId="0" borderId="1" xfId="0" applyFont="1" applyFill="1" applyBorder="1" applyAlignment="1">
      <alignment horizontal="right"/>
    </xf>
    <xf numFmtId="0" fontId="34" fillId="0" borderId="68" xfId="0" applyFont="1" applyBorder="1"/>
    <xf numFmtId="0" fontId="34" fillId="0" borderId="70" xfId="0" applyFont="1" applyBorder="1"/>
    <xf numFmtId="0" fontId="34" fillId="0" borderId="12" xfId="0" applyFont="1" applyBorder="1" applyAlignment="1">
      <alignment horizontal="center"/>
    </xf>
    <xf numFmtId="0" fontId="34" fillId="0" borderId="1" xfId="0" applyFont="1" applyBorder="1" applyAlignment="1">
      <alignment horizontal="center"/>
    </xf>
    <xf numFmtId="0" fontId="34" fillId="0" borderId="15" xfId="0" applyFont="1" applyBorder="1" applyAlignment="1">
      <alignment horizontal="center"/>
    </xf>
    <xf numFmtId="0" fontId="34" fillId="0" borderId="55" xfId="0" applyFont="1" applyBorder="1" applyAlignment="1">
      <alignment horizontal="center"/>
    </xf>
    <xf numFmtId="0" fontId="35" fillId="3" borderId="71" xfId="0" applyFont="1" applyFill="1" applyBorder="1"/>
    <xf numFmtId="37" fontId="35" fillId="3" borderId="72" xfId="0" applyNumberFormat="1" applyFont="1" applyFill="1" applyBorder="1"/>
    <xf numFmtId="0" fontId="35" fillId="3" borderId="73" xfId="0" applyFont="1" applyFill="1" applyBorder="1"/>
    <xf numFmtId="171" fontId="35" fillId="3" borderId="74" xfId="0" applyNumberFormat="1" applyFont="1" applyFill="1" applyBorder="1"/>
    <xf numFmtId="0" fontId="35" fillId="0" borderId="70" xfId="0" applyFont="1" applyFill="1" applyBorder="1"/>
    <xf numFmtId="171" fontId="34" fillId="0" borderId="15" xfId="1" applyNumberFormat="1" applyFont="1" applyFill="1" applyBorder="1"/>
    <xf numFmtId="171" fontId="35" fillId="0" borderId="55" xfId="0" applyNumberFormat="1" applyFont="1" applyFill="1" applyBorder="1"/>
    <xf numFmtId="0" fontId="35" fillId="0" borderId="70" xfId="0" applyFont="1" applyFill="1" applyBorder="1" applyAlignment="1">
      <alignment horizontal="left"/>
    </xf>
    <xf numFmtId="0" fontId="59" fillId="0" borderId="1" xfId="0" applyFont="1" applyFill="1" applyBorder="1"/>
    <xf numFmtId="0" fontId="34" fillId="0" borderId="15" xfId="0" applyFont="1" applyFill="1" applyBorder="1"/>
    <xf numFmtId="0" fontId="34" fillId="0" borderId="55" xfId="0" applyFont="1" applyFill="1" applyBorder="1"/>
    <xf numFmtId="0" fontId="37" fillId="0" borderId="70" xfId="0" applyFont="1" applyFill="1" applyBorder="1"/>
    <xf numFmtId="3" fontId="34" fillId="0" borderId="15" xfId="0" applyNumberFormat="1" applyFont="1" applyFill="1" applyBorder="1"/>
    <xf numFmtId="0" fontId="37" fillId="0" borderId="75" xfId="0" applyFont="1" applyFill="1" applyBorder="1"/>
    <xf numFmtId="0" fontId="34" fillId="0" borderId="12" xfId="0" applyFont="1" applyFill="1" applyBorder="1" applyAlignment="1">
      <alignment horizontal="right"/>
    </xf>
    <xf numFmtId="37" fontId="34" fillId="0" borderId="55" xfId="0" applyNumberFormat="1" applyFont="1" applyFill="1" applyBorder="1"/>
    <xf numFmtId="0" fontId="34" fillId="0" borderId="24" xfId="0" applyFont="1" applyFill="1" applyBorder="1" applyAlignment="1">
      <alignment horizontal="right"/>
    </xf>
    <xf numFmtId="0" fontId="34" fillId="0" borderId="24" xfId="0" applyFont="1" applyFill="1" applyBorder="1"/>
    <xf numFmtId="0" fontId="34" fillId="0" borderId="23" xfId="0" applyFont="1" applyFill="1" applyBorder="1" applyAlignment="1">
      <alignment horizontal="right"/>
    </xf>
    <xf numFmtId="0" fontId="34" fillId="0" borderId="23" xfId="0" applyFont="1" applyFill="1" applyBorder="1"/>
    <xf numFmtId="37" fontId="34" fillId="0" borderId="25" xfId="0" applyNumberFormat="1" applyFont="1" applyFill="1" applyBorder="1"/>
    <xf numFmtId="37" fontId="34" fillId="0" borderId="56" xfId="0" applyNumberFormat="1" applyFont="1" applyFill="1" applyBorder="1"/>
    <xf numFmtId="0" fontId="34" fillId="0" borderId="70" xfId="0" applyFont="1" applyFill="1" applyBorder="1"/>
    <xf numFmtId="0" fontId="34" fillId="0" borderId="22" xfId="0" applyFont="1" applyFill="1" applyBorder="1" applyAlignment="1">
      <alignment horizontal="right"/>
    </xf>
    <xf numFmtId="0" fontId="34" fillId="0" borderId="22" xfId="0" applyFont="1" applyFill="1" applyBorder="1"/>
    <xf numFmtId="0" fontId="34" fillId="0" borderId="13" xfId="0" applyFont="1" applyFill="1" applyBorder="1" applyAlignment="1">
      <alignment horizontal="right"/>
    </xf>
    <xf numFmtId="0" fontId="34" fillId="0" borderId="13" xfId="0" applyFont="1" applyFill="1" applyBorder="1"/>
    <xf numFmtId="37" fontId="34" fillId="0" borderId="19" xfId="0" applyNumberFormat="1" applyFont="1" applyFill="1" applyBorder="1"/>
    <xf numFmtId="37" fontId="34" fillId="0" borderId="58" xfId="0" applyNumberFormat="1" applyFont="1" applyFill="1" applyBorder="1"/>
    <xf numFmtId="0" fontId="35" fillId="3" borderId="76" xfId="0" applyFont="1" applyFill="1" applyBorder="1"/>
    <xf numFmtId="37" fontId="35" fillId="3" borderId="58" xfId="0" applyNumberFormat="1" applyFont="1" applyFill="1" applyBorder="1"/>
    <xf numFmtId="0" fontId="37" fillId="0" borderId="77" xfId="0" applyFont="1" applyBorder="1"/>
    <xf numFmtId="0" fontId="34" fillId="0" borderId="1" xfId="0" applyFont="1" applyBorder="1" applyAlignment="1">
      <alignment horizontal="right"/>
    </xf>
    <xf numFmtId="0" fontId="34" fillId="0" borderId="12" xfId="0" applyFont="1" applyBorder="1" applyAlignment="1">
      <alignment horizontal="right"/>
    </xf>
    <xf numFmtId="0" fontId="34" fillId="0" borderId="12" xfId="0" applyFont="1" applyBorder="1"/>
    <xf numFmtId="37" fontId="34" fillId="0" borderId="15" xfId="0" applyNumberFormat="1" applyFont="1" applyBorder="1"/>
    <xf numFmtId="0" fontId="37" fillId="0" borderId="70" xfId="0" applyFont="1" applyBorder="1"/>
    <xf numFmtId="0" fontId="37" fillId="0" borderId="75" xfId="0" applyFont="1" applyBorder="1"/>
    <xf numFmtId="0" fontId="34" fillId="0" borderId="22" xfId="0" applyFont="1" applyBorder="1" applyAlignment="1">
      <alignment horizontal="right"/>
    </xf>
    <xf numFmtId="0" fontId="34" fillId="0" borderId="22" xfId="0" applyFont="1" applyBorder="1"/>
    <xf numFmtId="0" fontId="34" fillId="0" borderId="13" xfId="0" applyFont="1" applyBorder="1" applyAlignment="1">
      <alignment horizontal="right"/>
    </xf>
    <xf numFmtId="0" fontId="34" fillId="0" borderId="13" xfId="0" applyFont="1" applyBorder="1"/>
    <xf numFmtId="37" fontId="34" fillId="0" borderId="19" xfId="0" applyNumberFormat="1" applyFont="1" applyBorder="1"/>
    <xf numFmtId="0" fontId="34" fillId="0" borderId="15" xfId="0" applyFont="1" applyBorder="1"/>
    <xf numFmtId="0" fontId="35" fillId="0" borderId="12" xfId="0" applyFont="1" applyBorder="1"/>
    <xf numFmtId="0" fontId="35" fillId="0" borderId="15" xfId="0" applyFont="1" applyBorder="1"/>
    <xf numFmtId="0" fontId="35" fillId="0" borderId="55" xfId="0" applyFont="1" applyBorder="1"/>
    <xf numFmtId="37" fontId="35" fillId="3" borderId="57" xfId="0" applyNumberFormat="1" applyFont="1" applyFill="1" applyBorder="1"/>
    <xf numFmtId="0" fontId="35" fillId="3" borderId="78" xfId="0" applyFont="1" applyFill="1" applyBorder="1"/>
    <xf numFmtId="0" fontId="35" fillId="3" borderId="64" xfId="0" applyFont="1" applyFill="1" applyBorder="1"/>
    <xf numFmtId="37" fontId="35" fillId="3" borderId="79" xfId="0" applyNumberFormat="1" applyFont="1" applyFill="1" applyBorder="1"/>
    <xf numFmtId="0" fontId="35" fillId="3" borderId="80" xfId="0" applyFont="1" applyFill="1" applyBorder="1"/>
    <xf numFmtId="0" fontId="34" fillId="3" borderId="80" xfId="0" applyFont="1" applyFill="1" applyBorder="1"/>
    <xf numFmtId="0" fontId="34" fillId="3" borderId="64" xfId="0" applyFont="1" applyFill="1" applyBorder="1"/>
    <xf numFmtId="37" fontId="35" fillId="3" borderId="81" xfId="0" applyNumberFormat="1" applyFont="1" applyFill="1" applyBorder="1"/>
    <xf numFmtId="171" fontId="34" fillId="0" borderId="12" xfId="0" applyNumberFormat="1" applyFont="1" applyBorder="1"/>
    <xf numFmtId="37" fontId="34" fillId="0" borderId="12" xfId="0" applyNumberFormat="1" applyFont="1" applyBorder="1"/>
    <xf numFmtId="0" fontId="34" fillId="0" borderId="75" xfId="0" applyFont="1" applyBorder="1"/>
    <xf numFmtId="0" fontId="35" fillId="0" borderId="70" xfId="0" applyFont="1" applyBorder="1"/>
    <xf numFmtId="171" fontId="35" fillId="0" borderId="24" xfId="0" applyNumberFormat="1" applyFont="1" applyBorder="1"/>
    <xf numFmtId="37" fontId="35" fillId="0" borderId="25" xfId="0" applyNumberFormat="1" applyFont="1" applyBorder="1"/>
    <xf numFmtId="171" fontId="35" fillId="0" borderId="23" xfId="0" applyNumberFormat="1" applyFont="1" applyBorder="1"/>
    <xf numFmtId="37" fontId="35" fillId="0" borderId="23" xfId="0" applyNumberFormat="1" applyFont="1" applyBorder="1"/>
    <xf numFmtId="171" fontId="35" fillId="0" borderId="15" xfId="0" applyNumberFormat="1" applyFont="1" applyBorder="1"/>
    <xf numFmtId="171" fontId="35" fillId="0" borderId="55" xfId="0" applyNumberFormat="1" applyFont="1" applyBorder="1"/>
    <xf numFmtId="0" fontId="34" fillId="0" borderId="19" xfId="0" applyFont="1" applyBorder="1"/>
    <xf numFmtId="0" fontId="59" fillId="0" borderId="22" xfId="0" applyFont="1" applyBorder="1"/>
    <xf numFmtId="171" fontId="35" fillId="0" borderId="19" xfId="0" applyNumberFormat="1" applyFont="1" applyBorder="1"/>
    <xf numFmtId="171" fontId="35" fillId="0" borderId="58" xfId="0" applyNumberFormat="1" applyFont="1" applyBorder="1"/>
    <xf numFmtId="171" fontId="34" fillId="0" borderId="22" xfId="0" applyNumberFormat="1" applyFont="1" applyBorder="1"/>
    <xf numFmtId="37" fontId="34" fillId="0" borderId="13" xfId="0" applyNumberFormat="1" applyFont="1" applyBorder="1"/>
    <xf numFmtId="0" fontId="35" fillId="3" borderId="82" xfId="0" applyFont="1" applyFill="1" applyBorder="1"/>
    <xf numFmtId="0" fontId="34" fillId="3" borderId="60" xfId="0" applyFont="1" applyFill="1" applyBorder="1" applyAlignment="1">
      <alignment horizontal="right"/>
    </xf>
    <xf numFmtId="0" fontId="34" fillId="3" borderId="60" xfId="0" applyFont="1" applyFill="1" applyBorder="1"/>
    <xf numFmtId="37" fontId="35" fillId="3" borderId="59" xfId="0" applyNumberFormat="1" applyFont="1" applyFill="1" applyBorder="1"/>
    <xf numFmtId="0" fontId="34" fillId="3" borderId="61" xfId="0" applyFont="1" applyFill="1" applyBorder="1" applyAlignment="1">
      <alignment horizontal="right"/>
    </xf>
    <xf numFmtId="0" fontId="35" fillId="3" borderId="61" xfId="0" applyFont="1" applyFill="1" applyBorder="1"/>
    <xf numFmtId="0" fontId="35" fillId="3" borderId="60" xfId="0" applyFont="1" applyFill="1" applyBorder="1"/>
    <xf numFmtId="37" fontId="35" fillId="3" borderId="83" xfId="0" applyNumberFormat="1" applyFont="1" applyFill="1" applyBorder="1"/>
    <xf numFmtId="1" fontId="34" fillId="0" borderId="12" xfId="0" applyNumberFormat="1" applyFont="1" applyBorder="1"/>
    <xf numFmtId="172" fontId="34" fillId="0" borderId="1" xfId="0" applyNumberFormat="1" applyFont="1" applyBorder="1"/>
    <xf numFmtId="171" fontId="34" fillId="0" borderId="15" xfId="0" applyNumberFormat="1" applyFont="1" applyBorder="1"/>
    <xf numFmtId="0" fontId="34" fillId="0" borderId="77" xfId="0" applyFont="1" applyBorder="1"/>
    <xf numFmtId="0" fontId="34" fillId="0" borderId="24" xfId="0" applyFont="1" applyBorder="1"/>
    <xf numFmtId="1" fontId="34" fillId="0" borderId="23" xfId="0" applyNumberFormat="1" applyFont="1" applyBorder="1"/>
    <xf numFmtId="37" fontId="34" fillId="0" borderId="23" xfId="0" applyNumberFormat="1" applyFont="1" applyBorder="1"/>
    <xf numFmtId="171" fontId="34" fillId="0" borderId="23" xfId="0" applyNumberFormat="1" applyFont="1" applyBorder="1"/>
    <xf numFmtId="37" fontId="34" fillId="0" borderId="25" xfId="0" applyNumberFormat="1" applyFont="1" applyBorder="1"/>
    <xf numFmtId="37" fontId="34" fillId="0" borderId="24" xfId="0" applyNumberFormat="1" applyFont="1" applyBorder="1"/>
    <xf numFmtId="172" fontId="34" fillId="0" borderId="22" xfId="0" applyNumberFormat="1" applyFont="1" applyBorder="1"/>
    <xf numFmtId="171" fontId="34" fillId="0" borderId="19" xfId="0" applyNumberFormat="1" applyFont="1" applyBorder="1"/>
    <xf numFmtId="2" fontId="34" fillId="0" borderId="22" xfId="0" applyNumberFormat="1" applyFont="1" applyBorder="1"/>
    <xf numFmtId="171" fontId="34" fillId="0" borderId="13" xfId="0" applyNumberFormat="1" applyFont="1" applyBorder="1"/>
    <xf numFmtId="171" fontId="35" fillId="0" borderId="12" xfId="0" applyNumberFormat="1" applyFont="1" applyBorder="1"/>
    <xf numFmtId="37" fontId="35" fillId="3" borderId="84" xfId="0" applyNumberFormat="1" applyFont="1" applyFill="1" applyBorder="1"/>
    <xf numFmtId="0" fontId="35" fillId="3" borderId="85" xfId="0" applyFont="1" applyFill="1" applyBorder="1"/>
    <xf numFmtId="0" fontId="35" fillId="3" borderId="31" xfId="0" applyFont="1" applyFill="1" applyBorder="1"/>
    <xf numFmtId="171" fontId="35" fillId="0" borderId="13" xfId="0" applyNumberFormat="1" applyFont="1" applyBorder="1"/>
    <xf numFmtId="173" fontId="34" fillId="0" borderId="1" xfId="0" applyNumberFormat="1" applyFont="1" applyBorder="1"/>
    <xf numFmtId="0" fontId="34" fillId="0" borderId="23" xfId="0" applyFont="1" applyBorder="1"/>
    <xf numFmtId="0" fontId="35" fillId="0" borderId="1" xfId="0" applyFont="1" applyBorder="1"/>
    <xf numFmtId="172" fontId="35" fillId="0" borderId="1" xfId="0" applyNumberFormat="1" applyFont="1" applyBorder="1"/>
    <xf numFmtId="37" fontId="35" fillId="0" borderId="12" xfId="0" applyNumberFormat="1" applyFont="1" applyBorder="1"/>
    <xf numFmtId="37" fontId="35" fillId="0" borderId="15" xfId="0" applyNumberFormat="1" applyFont="1" applyBorder="1"/>
    <xf numFmtId="37" fontId="35" fillId="0" borderId="55" xfId="0" applyNumberFormat="1" applyFont="1" applyBorder="1"/>
    <xf numFmtId="0" fontId="35" fillId="0" borderId="22" xfId="0" applyFont="1" applyBorder="1"/>
    <xf numFmtId="172" fontId="35" fillId="0" borderId="22" xfId="0" applyNumberFormat="1" applyFont="1" applyBorder="1"/>
    <xf numFmtId="0" fontId="35" fillId="0" borderId="13" xfId="0" applyFont="1" applyBorder="1"/>
    <xf numFmtId="37" fontId="35" fillId="0" borderId="13" xfId="0" applyNumberFormat="1" applyFont="1" applyBorder="1"/>
    <xf numFmtId="37" fontId="35" fillId="0" borderId="19" xfId="0" applyNumberFormat="1" applyFont="1" applyBorder="1"/>
    <xf numFmtId="37" fontId="35" fillId="0" borderId="58" xfId="0" applyNumberFormat="1" applyFont="1" applyBorder="1"/>
    <xf numFmtId="0" fontId="35" fillId="4" borderId="71" xfId="0" applyFont="1" applyFill="1" applyBorder="1"/>
    <xf numFmtId="171" fontId="61" fillId="0" borderId="12" xfId="0" applyNumberFormat="1" applyFont="1" applyBorder="1"/>
    <xf numFmtId="37" fontId="35" fillId="4" borderId="84" xfId="0" applyNumberFormat="1" applyFont="1" applyFill="1" applyBorder="1"/>
    <xf numFmtId="0" fontId="35" fillId="4" borderId="75" xfId="0" applyFont="1" applyFill="1" applyBorder="1"/>
    <xf numFmtId="0" fontId="35" fillId="0" borderId="77" xfId="0" applyFont="1" applyFill="1" applyBorder="1"/>
    <xf numFmtId="37" fontId="35" fillId="0" borderId="56" xfId="0" applyNumberFormat="1" applyFont="1" applyFill="1" applyBorder="1"/>
    <xf numFmtId="171" fontId="34" fillId="0" borderId="12" xfId="0" applyNumberFormat="1" applyFont="1" applyFill="1" applyBorder="1"/>
    <xf numFmtId="37" fontId="35" fillId="0" borderId="55" xfId="0" applyNumberFormat="1" applyFont="1" applyFill="1" applyBorder="1"/>
    <xf numFmtId="0" fontId="35" fillId="4" borderId="77" xfId="0" applyFont="1" applyFill="1" applyBorder="1"/>
    <xf numFmtId="37" fontId="35" fillId="4" borderId="56" xfId="0" applyNumberFormat="1" applyFont="1" applyFill="1" applyBorder="1"/>
    <xf numFmtId="0" fontId="35" fillId="0" borderId="70" xfId="0" applyFont="1" applyBorder="1" applyAlignment="1">
      <alignment horizontal="left"/>
    </xf>
    <xf numFmtId="0" fontId="34" fillId="0" borderId="55" xfId="0" applyFont="1" applyBorder="1"/>
    <xf numFmtId="0" fontId="34" fillId="0" borderId="24" xfId="0" applyFont="1" applyBorder="1" applyAlignment="1">
      <alignment horizontal="right"/>
    </xf>
    <xf numFmtId="0" fontId="34" fillId="0" borderId="23" xfId="0" applyFont="1" applyBorder="1" applyAlignment="1">
      <alignment horizontal="right"/>
    </xf>
    <xf numFmtId="0" fontId="34" fillId="0" borderId="24" xfId="0" applyFont="1" applyBorder="1" applyAlignment="1">
      <alignment horizontal="center"/>
    </xf>
    <xf numFmtId="0" fontId="34" fillId="0" borderId="13" xfId="0" applyFont="1" applyBorder="1" applyAlignment="1">
      <alignment horizontal="center"/>
    </xf>
    <xf numFmtId="0" fontId="34" fillId="0" borderId="19" xfId="0" applyFont="1" applyBorder="1" applyAlignment="1">
      <alignment horizontal="center"/>
    </xf>
    <xf numFmtId="0" fontId="34" fillId="0" borderId="22" xfId="0" applyFont="1" applyBorder="1" applyAlignment="1">
      <alignment horizontal="center"/>
    </xf>
    <xf numFmtId="0" fontId="34" fillId="0" borderId="58" xfId="0" applyFont="1" applyBorder="1" applyAlignment="1">
      <alignment horizontal="center"/>
    </xf>
    <xf numFmtId="3" fontId="34" fillId="0" borderId="55" xfId="0" applyNumberFormat="1" applyFont="1" applyBorder="1"/>
    <xf numFmtId="0" fontId="35" fillId="0" borderId="77" xfId="0" applyFont="1" applyBorder="1"/>
    <xf numFmtId="3" fontId="35" fillId="0" borderId="24" xfId="0" applyNumberFormat="1" applyFont="1" applyBorder="1"/>
    <xf numFmtId="3" fontId="35" fillId="0" borderId="25" xfId="0" applyNumberFormat="1" applyFont="1" applyBorder="1"/>
    <xf numFmtId="3" fontId="35" fillId="0" borderId="23" xfId="0" applyNumberFormat="1" applyFont="1" applyBorder="1"/>
    <xf numFmtId="3" fontId="35" fillId="0" borderId="56" xfId="0" applyNumberFormat="1" applyFont="1" applyBorder="1"/>
    <xf numFmtId="3" fontId="34" fillId="0" borderId="19" xfId="0" applyNumberFormat="1" applyFont="1" applyBorder="1"/>
    <xf numFmtId="3" fontId="34" fillId="0" borderId="13" xfId="0" applyNumberFormat="1" applyFont="1" applyBorder="1"/>
    <xf numFmtId="3" fontId="34" fillId="0" borderId="22" xfId="0" applyNumberFormat="1" applyFont="1" applyBorder="1"/>
    <xf numFmtId="3" fontId="35" fillId="0" borderId="13" xfId="0" applyNumberFormat="1" applyFont="1" applyBorder="1"/>
    <xf numFmtId="3" fontId="35" fillId="0" borderId="19" xfId="0" applyNumberFormat="1" applyFont="1" applyBorder="1"/>
    <xf numFmtId="3" fontId="35" fillId="0" borderId="58" xfId="0" applyNumberFormat="1" applyFont="1" applyBorder="1"/>
    <xf numFmtId="3" fontId="34" fillId="0" borderId="23" xfId="0" applyNumberFormat="1" applyFont="1" applyBorder="1"/>
    <xf numFmtId="171" fontId="60" fillId="11" borderId="86" xfId="0" applyNumberFormat="1" applyFont="1" applyFill="1" applyBorder="1"/>
    <xf numFmtId="37" fontId="34" fillId="0" borderId="22" xfId="0" applyNumberFormat="1" applyFont="1" applyBorder="1"/>
    <xf numFmtId="0" fontId="35" fillId="0" borderId="1" xfId="0" applyFont="1" applyBorder="1" applyAlignment="1">
      <alignment horizontal="center"/>
    </xf>
    <xf numFmtId="171" fontId="35" fillId="0" borderId="1" xfId="0" applyNumberFormat="1" applyFont="1" applyBorder="1"/>
    <xf numFmtId="0" fontId="35" fillId="0" borderId="12" xfId="0" applyFont="1" applyBorder="1" applyAlignment="1">
      <alignment horizontal="center"/>
    </xf>
    <xf numFmtId="3" fontId="34" fillId="0" borderId="24" xfId="0" applyNumberFormat="1" applyFont="1" applyBorder="1" applyAlignment="1">
      <alignment horizontal="center"/>
    </xf>
    <xf numFmtId="3" fontId="34" fillId="0" borderId="1" xfId="0" applyNumberFormat="1" applyFont="1" applyBorder="1" applyAlignment="1">
      <alignment horizontal="center"/>
    </xf>
    <xf numFmtId="3" fontId="34" fillId="0" borderId="15" xfId="0" applyNumberFormat="1" applyFont="1" applyBorder="1" applyAlignment="1">
      <alignment horizontal="center"/>
    </xf>
    <xf numFmtId="3" fontId="34" fillId="0" borderId="12" xfId="0" applyNumberFormat="1" applyFont="1" applyBorder="1" applyAlignment="1">
      <alignment horizontal="center"/>
    </xf>
    <xf numFmtId="3" fontId="34" fillId="0" borderId="55" xfId="0" applyNumberFormat="1" applyFont="1" applyBorder="1" applyAlignment="1">
      <alignment horizontal="center"/>
    </xf>
    <xf numFmtId="3" fontId="34" fillId="0" borderId="22" xfId="0" applyNumberFormat="1" applyFont="1" applyBorder="1" applyAlignment="1">
      <alignment horizontal="center"/>
    </xf>
    <xf numFmtId="3" fontId="34" fillId="0" borderId="13" xfId="0" applyNumberFormat="1" applyFont="1" applyBorder="1" applyAlignment="1">
      <alignment horizontal="center"/>
    </xf>
    <xf numFmtId="3" fontId="34" fillId="0" borderId="19" xfId="0" applyNumberFormat="1" applyFont="1" applyBorder="1" applyAlignment="1">
      <alignment horizontal="center"/>
    </xf>
    <xf numFmtId="3" fontId="34" fillId="0" borderId="58" xfId="0" applyNumberFormat="1" applyFont="1" applyBorder="1" applyAlignment="1">
      <alignment horizontal="center"/>
    </xf>
    <xf numFmtId="0" fontId="35" fillId="0" borderId="75" xfId="0" applyFont="1" applyBorder="1"/>
    <xf numFmtId="3" fontId="34" fillId="0" borderId="58" xfId="0" applyNumberFormat="1" applyFont="1" applyBorder="1"/>
    <xf numFmtId="3" fontId="34" fillId="0" borderId="24" xfId="0" applyNumberFormat="1" applyFont="1" applyBorder="1"/>
    <xf numFmtId="3" fontId="34" fillId="0" borderId="25" xfId="0" applyNumberFormat="1" applyFont="1" applyBorder="1"/>
    <xf numFmtId="3" fontId="34" fillId="0" borderId="56" xfId="0" applyNumberFormat="1" applyFont="1" applyBorder="1"/>
    <xf numFmtId="3" fontId="35" fillId="0" borderId="12" xfId="0" applyNumberFormat="1" applyFont="1" applyBorder="1"/>
    <xf numFmtId="0" fontId="35" fillId="4" borderId="70" xfId="0" applyFont="1" applyFill="1" applyBorder="1"/>
    <xf numFmtId="37" fontId="34" fillId="0" borderId="15" xfId="0" applyNumberFormat="1" applyFont="1" applyBorder="1" applyAlignment="1"/>
    <xf numFmtId="37" fontId="34" fillId="0" borderId="19" xfId="0" applyNumberFormat="1" applyFont="1" applyBorder="1" applyAlignment="1"/>
    <xf numFmtId="37" fontId="35" fillId="4" borderId="58" xfId="0" applyNumberFormat="1" applyFont="1" applyFill="1" applyBorder="1"/>
    <xf numFmtId="0" fontId="34" fillId="3" borderId="61" xfId="0" applyFont="1" applyFill="1" applyBorder="1"/>
    <xf numFmtId="0" fontId="43" fillId="0" borderId="1" xfId="0" applyFont="1" applyBorder="1" applyAlignment="1">
      <alignment horizontal="center" vertical="center"/>
    </xf>
    <xf numFmtId="0" fontId="32" fillId="0" borderId="1" xfId="0" applyFont="1" applyBorder="1" applyAlignment="1">
      <alignment horizontal="center"/>
    </xf>
    <xf numFmtId="0" fontId="32" fillId="0" borderId="1" xfId="0" applyFont="1" applyBorder="1"/>
    <xf numFmtId="0" fontId="34" fillId="0" borderId="87" xfId="0" applyFont="1" applyBorder="1" applyAlignment="1">
      <alignment horizontal="left"/>
    </xf>
    <xf numFmtId="0" fontId="35" fillId="0" borderId="88" xfId="0" applyFont="1" applyBorder="1" applyAlignment="1">
      <alignment horizontal="center" vertical="center"/>
    </xf>
    <xf numFmtId="0" fontId="34" fillId="0" borderId="32" xfId="0" applyFont="1" applyBorder="1" applyAlignment="1">
      <alignment horizontal="center"/>
    </xf>
    <xf numFmtId="0" fontId="34" fillId="0" borderId="33" xfId="0" applyFont="1" applyBorder="1" applyAlignment="1">
      <alignment horizontal="center"/>
    </xf>
    <xf numFmtId="0" fontId="34" fillId="0" borderId="34" xfId="0" applyFont="1" applyBorder="1" applyAlignment="1">
      <alignment horizontal="center"/>
    </xf>
    <xf numFmtId="0" fontId="37" fillId="0" borderId="22" xfId="0" applyFont="1" applyBorder="1"/>
    <xf numFmtId="37" fontId="37" fillId="0" borderId="32" xfId="0" applyNumberFormat="1" applyFont="1" applyBorder="1"/>
    <xf numFmtId="37" fontId="37" fillId="0" borderId="33" xfId="0" applyNumberFormat="1" applyFont="1" applyBorder="1"/>
    <xf numFmtId="37" fontId="37" fillId="0" borderId="22" xfId="0" applyNumberFormat="1" applyFont="1" applyBorder="1"/>
    <xf numFmtId="171" fontId="37" fillId="0" borderId="22" xfId="0" applyNumberFormat="1" applyFont="1" applyBorder="1"/>
    <xf numFmtId="37" fontId="37" fillId="0" borderId="34" xfId="0" applyNumberFormat="1" applyFont="1" applyBorder="1"/>
    <xf numFmtId="171" fontId="37" fillId="0" borderId="58" xfId="0" applyNumberFormat="1" applyFont="1" applyBorder="1"/>
    <xf numFmtId="0" fontId="43" fillId="3" borderId="75" xfId="0" applyFont="1" applyFill="1" applyBorder="1"/>
    <xf numFmtId="171" fontId="43" fillId="3" borderId="58" xfId="0" applyNumberFormat="1" applyFont="1" applyFill="1" applyBorder="1"/>
    <xf numFmtId="0" fontId="43" fillId="0" borderId="70" xfId="0" applyFont="1" applyBorder="1"/>
    <xf numFmtId="0" fontId="37" fillId="0" borderId="1" xfId="0" applyFont="1" applyBorder="1"/>
    <xf numFmtId="37" fontId="37" fillId="0" borderId="39" xfId="0" applyNumberFormat="1" applyFont="1" applyBorder="1"/>
    <xf numFmtId="37" fontId="37" fillId="0" borderId="1" xfId="0" applyNumberFormat="1" applyFont="1" applyBorder="1"/>
    <xf numFmtId="171" fontId="37" fillId="0" borderId="1" xfId="0" applyNumberFormat="1" applyFont="1" applyBorder="1"/>
    <xf numFmtId="37" fontId="37" fillId="0" borderId="41" xfId="0" applyNumberFormat="1" applyFont="1" applyBorder="1"/>
    <xf numFmtId="0" fontId="37" fillId="0" borderId="1" xfId="0" applyFont="1" applyBorder="1" applyAlignment="1">
      <alignment horizontal="right"/>
    </xf>
    <xf numFmtId="172" fontId="37" fillId="0" borderId="1" xfId="0" applyNumberFormat="1" applyFont="1" applyBorder="1"/>
    <xf numFmtId="0" fontId="37" fillId="0" borderId="39" xfId="0" applyFont="1" applyBorder="1"/>
    <xf numFmtId="0" fontId="37" fillId="0" borderId="22" xfId="0" applyFont="1" applyBorder="1" applyAlignment="1">
      <alignment horizontal="right"/>
    </xf>
    <xf numFmtId="172" fontId="37" fillId="0" borderId="22" xfId="0" applyNumberFormat="1" applyFont="1" applyBorder="1"/>
    <xf numFmtId="0" fontId="37" fillId="0" borderId="33" xfId="0" applyFont="1" applyBorder="1"/>
    <xf numFmtId="171" fontId="37" fillId="0" borderId="32" xfId="0" applyNumberFormat="1" applyFont="1" applyBorder="1"/>
    <xf numFmtId="0" fontId="43" fillId="3" borderId="76" xfId="0" applyFont="1" applyFill="1" applyBorder="1"/>
    <xf numFmtId="0" fontId="37" fillId="0" borderId="24" xfId="0" applyFont="1" applyBorder="1" applyAlignment="1">
      <alignment horizontal="right"/>
    </xf>
    <xf numFmtId="0" fontId="37" fillId="0" borderId="24" xfId="0" applyFont="1" applyBorder="1"/>
    <xf numFmtId="37" fontId="37" fillId="0" borderId="37" xfId="0" applyNumberFormat="1" applyFont="1" applyBorder="1"/>
    <xf numFmtId="0" fontId="37" fillId="0" borderId="38" xfId="0" applyFont="1" applyBorder="1"/>
    <xf numFmtId="172" fontId="37" fillId="0" borderId="24" xfId="0" applyNumberFormat="1" applyFont="1" applyBorder="1"/>
    <xf numFmtId="37" fontId="37" fillId="0" borderId="24" xfId="0" applyNumberFormat="1" applyFont="1" applyBorder="1"/>
    <xf numFmtId="171" fontId="37" fillId="0" borderId="24" xfId="0" applyNumberFormat="1" applyFont="1" applyBorder="1"/>
    <xf numFmtId="37" fontId="37" fillId="0" borderId="42" xfId="0" applyNumberFormat="1" applyFont="1" applyBorder="1"/>
    <xf numFmtId="171" fontId="43" fillId="0" borderId="1" xfId="0" applyNumberFormat="1" applyFont="1" applyBorder="1"/>
    <xf numFmtId="0" fontId="43" fillId="0" borderId="1" xfId="0" applyFont="1" applyBorder="1"/>
    <xf numFmtId="171" fontId="37" fillId="0" borderId="37" xfId="0" applyNumberFormat="1" applyFont="1" applyBorder="1"/>
    <xf numFmtId="0" fontId="37" fillId="0" borderId="41" xfId="0" applyFont="1" applyBorder="1"/>
    <xf numFmtId="171" fontId="37" fillId="0" borderId="92" xfId="0" applyNumberFormat="1" applyFont="1" applyBorder="1"/>
    <xf numFmtId="0" fontId="37" fillId="0" borderId="1" xfId="0" applyFont="1" applyFill="1" applyBorder="1"/>
    <xf numFmtId="37" fontId="37" fillId="0" borderId="1" xfId="0" applyNumberFormat="1" applyFont="1" applyFill="1" applyBorder="1"/>
    <xf numFmtId="171" fontId="37" fillId="0" borderId="37" xfId="0" applyNumberFormat="1" applyFont="1" applyFill="1" applyBorder="1"/>
    <xf numFmtId="37" fontId="37" fillId="0" borderId="49" xfId="0" applyNumberFormat="1" applyFont="1" applyFill="1" applyBorder="1"/>
    <xf numFmtId="0" fontId="43" fillId="4" borderId="77" xfId="0" applyFont="1" applyFill="1" applyBorder="1"/>
    <xf numFmtId="171" fontId="37" fillId="0" borderId="83" xfId="0" applyNumberFormat="1" applyFont="1" applyBorder="1"/>
    <xf numFmtId="0" fontId="43" fillId="3" borderId="78" xfId="0" applyFont="1" applyFill="1" applyBorder="1"/>
    <xf numFmtId="0" fontId="43" fillId="3" borderId="64" xfId="0" applyFont="1" applyFill="1" applyBorder="1"/>
    <xf numFmtId="0" fontId="43" fillId="3" borderId="64" xfId="0" applyFont="1" applyFill="1" applyBorder="1" applyAlignment="1">
      <alignment horizontal="center"/>
    </xf>
    <xf numFmtId="171" fontId="43" fillId="3" borderId="64" xfId="0" applyNumberFormat="1" applyFont="1" applyFill="1" applyBorder="1"/>
    <xf numFmtId="37" fontId="43" fillId="3" borderId="93" xfId="0" applyNumberFormat="1" applyFont="1" applyFill="1" applyBorder="1"/>
    <xf numFmtId="37" fontId="43" fillId="3" borderId="94" xfId="0" applyNumberFormat="1" applyFont="1" applyFill="1" applyBorder="1"/>
    <xf numFmtId="0" fontId="43" fillId="3" borderId="94" xfId="0" applyFont="1" applyFill="1" applyBorder="1" applyAlignment="1">
      <alignment horizontal="center"/>
    </xf>
    <xf numFmtId="171" fontId="43" fillId="3" borderId="86" xfId="0" applyNumberFormat="1" applyFont="1" applyFill="1" applyBorder="1"/>
    <xf numFmtId="0" fontId="43" fillId="3" borderId="95" xfId="0" applyFont="1" applyFill="1" applyBorder="1"/>
    <xf numFmtId="0" fontId="43" fillId="3" borderId="96" xfId="0" applyFont="1" applyFill="1" applyBorder="1"/>
    <xf numFmtId="0" fontId="43" fillId="3" borderId="96" xfId="0" applyFont="1" applyFill="1" applyBorder="1" applyAlignment="1">
      <alignment horizontal="center"/>
    </xf>
    <xf numFmtId="171" fontId="43" fillId="3" borderId="96" xfId="0" applyNumberFormat="1" applyFont="1" applyFill="1" applyBorder="1"/>
    <xf numFmtId="37" fontId="43" fillId="3" borderId="97" xfId="0" applyNumberFormat="1" applyFont="1" applyFill="1" applyBorder="1"/>
    <xf numFmtId="37" fontId="43" fillId="3" borderId="96" xfId="0" applyNumberFormat="1" applyFont="1" applyFill="1" applyBorder="1"/>
    <xf numFmtId="37" fontId="43" fillId="3" borderId="98" xfId="0" applyNumberFormat="1" applyFont="1" applyFill="1" applyBorder="1"/>
    <xf numFmtId="37" fontId="43" fillId="3" borderId="99" xfId="0" applyNumberFormat="1" applyFont="1" applyFill="1" applyBorder="1"/>
    <xf numFmtId="37" fontId="43" fillId="3" borderId="88" xfId="0" applyNumberFormat="1" applyFont="1" applyFill="1" applyBorder="1"/>
    <xf numFmtId="171" fontId="43" fillId="3" borderId="91" xfId="0" applyNumberFormat="1" applyFont="1" applyFill="1" applyBorder="1"/>
    <xf numFmtId="0" fontId="42" fillId="0" borderId="70" xfId="0" applyFont="1" applyBorder="1"/>
    <xf numFmtId="0" fontId="42" fillId="0" borderId="41" xfId="0" applyFont="1" applyBorder="1"/>
    <xf numFmtId="0" fontId="42" fillId="0" borderId="55" xfId="0" applyFont="1" applyBorder="1"/>
    <xf numFmtId="0" fontId="32" fillId="0" borderId="41" xfId="0" applyFont="1" applyBorder="1"/>
    <xf numFmtId="171" fontId="43" fillId="3" borderId="81" xfId="0" applyNumberFormat="1" applyFont="1" applyFill="1" applyBorder="1"/>
    <xf numFmtId="0" fontId="35" fillId="0" borderId="15" xfId="0" applyFont="1" applyFill="1" applyBorder="1"/>
    <xf numFmtId="171" fontId="64" fillId="0" borderId="12" xfId="1" applyNumberFormat="1" applyFont="1" applyFill="1" applyBorder="1"/>
    <xf numFmtId="3" fontId="34" fillId="0" borderId="55" xfId="0" applyNumberFormat="1" applyFont="1" applyFill="1" applyBorder="1"/>
    <xf numFmtId="3" fontId="64" fillId="0" borderId="55" xfId="0" applyNumberFormat="1" applyFont="1" applyFill="1" applyBorder="1"/>
    <xf numFmtId="0" fontId="33" fillId="0" borderId="0" xfId="0" applyFont="1" applyFill="1"/>
    <xf numFmtId="0" fontId="0" fillId="0" borderId="0" xfId="0" applyFont="1" applyFill="1" applyAlignment="1"/>
    <xf numFmtId="0" fontId="38" fillId="0" borderId="0" xfId="0" applyFont="1" applyFill="1"/>
    <xf numFmtId="0" fontId="26" fillId="0" borderId="0" xfId="0" applyFont="1" applyFill="1"/>
    <xf numFmtId="0" fontId="40" fillId="0" borderId="0" xfId="0" applyFont="1" applyFill="1"/>
    <xf numFmtId="39" fontId="34" fillId="0" borderId="0" xfId="0" applyNumberFormat="1" applyFont="1" applyFill="1"/>
    <xf numFmtId="0" fontId="32" fillId="0" borderId="0" xfId="0" applyFont="1" applyFill="1"/>
    <xf numFmtId="0" fontId="31" fillId="0" borderId="0" xfId="0" applyFont="1" applyFill="1"/>
    <xf numFmtId="0" fontId="31" fillId="0" borderId="1" xfId="0" applyFont="1" applyFill="1" applyBorder="1"/>
    <xf numFmtId="0" fontId="32" fillId="0" borderId="1" xfId="0" applyFont="1" applyFill="1" applyBorder="1"/>
    <xf numFmtId="0" fontId="41" fillId="0" borderId="0" xfId="0" applyFont="1" applyFill="1"/>
    <xf numFmtId="37" fontId="35" fillId="0" borderId="0" xfId="0" applyNumberFormat="1" applyFont="1" applyFill="1"/>
    <xf numFmtId="0" fontId="39" fillId="0" borderId="0" xfId="0" applyFont="1" applyFill="1"/>
    <xf numFmtId="171" fontId="34" fillId="0" borderId="0" xfId="0" applyNumberFormat="1" applyFont="1" applyFill="1"/>
    <xf numFmtId="171" fontId="35" fillId="0" borderId="0" xfId="0" applyNumberFormat="1" applyFont="1" applyFill="1"/>
    <xf numFmtId="37" fontId="32" fillId="0" borderId="1" xfId="0" applyNumberFormat="1" applyFont="1" applyFill="1" applyBorder="1"/>
    <xf numFmtId="0" fontId="31" fillId="0" borderId="0" xfId="0" applyFont="1" applyFill="1" applyAlignment="1">
      <alignment horizontal="center" vertical="center"/>
    </xf>
    <xf numFmtId="0" fontId="35" fillId="0" borderId="0" xfId="0" applyFont="1" applyFill="1" applyAlignment="1">
      <alignment horizontal="center"/>
    </xf>
    <xf numFmtId="0" fontId="34" fillId="0" borderId="0" xfId="0" applyFont="1" applyFill="1" applyAlignment="1">
      <alignment horizontal="center"/>
    </xf>
    <xf numFmtId="0" fontId="31" fillId="0" borderId="1" xfId="0" applyFont="1" applyFill="1" applyBorder="1" applyAlignment="1">
      <alignment horizontal="center" vertical="center"/>
    </xf>
    <xf numFmtId="0" fontId="35" fillId="0" borderId="1" xfId="0" applyFont="1" applyFill="1" applyBorder="1" applyAlignment="1">
      <alignment horizontal="center"/>
    </xf>
    <xf numFmtId="0" fontId="34" fillId="0" borderId="1" xfId="0" applyFont="1" applyFill="1" applyBorder="1" applyAlignment="1">
      <alignment horizontal="center"/>
    </xf>
    <xf numFmtId="171" fontId="34" fillId="0" borderId="1" xfId="0" applyNumberFormat="1" applyFont="1" applyFill="1" applyBorder="1"/>
    <xf numFmtId="0" fontId="42" fillId="0" borderId="0" xfId="0" applyFont="1" applyFill="1"/>
    <xf numFmtId="0" fontId="62" fillId="0" borderId="0" xfId="0" applyFont="1"/>
    <xf numFmtId="168" fontId="28" fillId="0" borderId="1" xfId="0" applyNumberFormat="1" applyFont="1" applyBorder="1"/>
    <xf numFmtId="168" fontId="30" fillId="0" borderId="1" xfId="0" applyNumberFormat="1" applyFont="1" applyBorder="1"/>
    <xf numFmtId="168" fontId="29" fillId="0" borderId="1" xfId="0" applyNumberFormat="1" applyFont="1" applyFill="1" applyBorder="1"/>
    <xf numFmtId="0" fontId="29" fillId="0" borderId="1" xfId="0" applyFont="1" applyFill="1" applyBorder="1"/>
    <xf numFmtId="168" fontId="28" fillId="0" borderId="1" xfId="0" applyNumberFormat="1" applyFont="1" applyFill="1" applyBorder="1"/>
    <xf numFmtId="168" fontId="30" fillId="0" borderId="1" xfId="0" applyNumberFormat="1" applyFont="1" applyFill="1" applyBorder="1"/>
    <xf numFmtId="0" fontId="24" fillId="0" borderId="0" xfId="0" applyFont="1" applyFill="1"/>
    <xf numFmtId="171" fontId="43" fillId="3" borderId="100" xfId="0" applyNumberFormat="1" applyFont="1" applyFill="1" applyBorder="1"/>
    <xf numFmtId="0" fontId="34" fillId="0" borderId="101" xfId="0" applyFont="1" applyBorder="1"/>
    <xf numFmtId="3" fontId="61" fillId="0" borderId="13" xfId="0" applyNumberFormat="1" applyFont="1" applyBorder="1"/>
    <xf numFmtId="3" fontId="61" fillId="0" borderId="22" xfId="0" applyNumberFormat="1" applyFont="1" applyBorder="1"/>
    <xf numFmtId="0" fontId="64" fillId="0" borderId="70" xfId="0" applyFont="1" applyBorder="1"/>
    <xf numFmtId="0" fontId="62" fillId="9" borderId="1" xfId="0" applyFont="1" applyFill="1" applyBorder="1"/>
    <xf numFmtId="0" fontId="65" fillId="0" borderId="77" xfId="0" applyFont="1" applyBorder="1"/>
    <xf numFmtId="4" fontId="66" fillId="0" borderId="0" xfId="0" applyNumberFormat="1" applyFont="1" applyAlignment="1">
      <alignment horizontal="center" vertical="top"/>
    </xf>
    <xf numFmtId="3" fontId="59" fillId="0" borderId="15" xfId="0" applyNumberFormat="1" applyFont="1" applyBorder="1"/>
    <xf numFmtId="3" fontId="43" fillId="3" borderId="17" xfId="0" applyNumberFormat="1" applyFont="1" applyFill="1" applyBorder="1" applyAlignment="1">
      <alignment horizontal="center"/>
    </xf>
    <xf numFmtId="39" fontId="55" fillId="10" borderId="44" xfId="0" applyNumberFormat="1" applyFont="1" applyFill="1" applyBorder="1" applyAlignment="1">
      <alignment horizontal="left" vertical="top"/>
    </xf>
    <xf numFmtId="37" fontId="43" fillId="12" borderId="17" xfId="0" applyNumberFormat="1" applyFont="1" applyFill="1" applyBorder="1"/>
    <xf numFmtId="0" fontId="24" fillId="0" borderId="102" xfId="0" applyFont="1" applyBorder="1"/>
    <xf numFmtId="168" fontId="67" fillId="0" borderId="50" xfId="0" applyNumberFormat="1" applyFont="1" applyBorder="1"/>
    <xf numFmtId="41" fontId="28" fillId="0" borderId="7" xfId="0" applyNumberFormat="1" applyFont="1" applyBorder="1"/>
    <xf numFmtId="41" fontId="29" fillId="3" borderId="9" xfId="0" applyNumberFormat="1" applyFont="1" applyFill="1" applyBorder="1"/>
    <xf numFmtId="41" fontId="29" fillId="3" borderId="11" xfId="0" applyNumberFormat="1" applyFont="1" applyFill="1" applyBorder="1"/>
    <xf numFmtId="41" fontId="30" fillId="0" borderId="5" xfId="0" applyNumberFormat="1" applyFont="1" applyBorder="1"/>
    <xf numFmtId="41" fontId="24" fillId="0" borderId="7" xfId="0" applyNumberFormat="1" applyFont="1" applyBorder="1"/>
    <xf numFmtId="41" fontId="28" fillId="0" borderId="51" xfId="0" applyNumberFormat="1" applyFont="1" applyBorder="1"/>
    <xf numFmtId="41" fontId="30" fillId="0" borderId="51" xfId="0" applyNumberFormat="1" applyFont="1" applyBorder="1"/>
    <xf numFmtId="41" fontId="28" fillId="0" borderId="3" xfId="0" applyNumberFormat="1" applyFont="1" applyBorder="1"/>
    <xf numFmtId="0" fontId="34" fillId="0" borderId="13" xfId="0" applyFont="1" applyBorder="1" applyAlignment="1"/>
    <xf numFmtId="3" fontId="34" fillId="0" borderId="12" xfId="0" applyNumberFormat="1" applyFont="1" applyBorder="1" applyAlignment="1"/>
    <xf numFmtId="0" fontId="0" fillId="0" borderId="0" xfId="0" applyFont="1" applyAlignment="1"/>
    <xf numFmtId="39" fontId="55" fillId="10" borderId="1" xfId="0" applyNumberFormat="1" applyFont="1" applyFill="1" applyBorder="1" applyAlignment="1">
      <alignment horizontal="left" vertical="top"/>
    </xf>
    <xf numFmtId="4" fontId="24" fillId="13" borderId="0" xfId="0" applyNumberFormat="1" applyFont="1" applyFill="1" applyAlignment="1">
      <alignment horizontal="center" vertical="top"/>
    </xf>
    <xf numFmtId="39" fontId="59" fillId="0" borderId="103" xfId="0" applyNumberFormat="1" applyFont="1" applyBorder="1"/>
    <xf numFmtId="167" fontId="52" fillId="0" borderId="0" xfId="0" applyNumberFormat="1" applyFont="1" applyAlignment="1">
      <alignment horizontal="center" vertical="top"/>
    </xf>
    <xf numFmtId="167" fontId="24" fillId="0" borderId="0" xfId="0" applyNumberFormat="1" applyFont="1" applyAlignment="1">
      <alignment horizontal="center" vertical="top"/>
    </xf>
    <xf numFmtId="167" fontId="66" fillId="0" borderId="0" xfId="0" applyNumberFormat="1" applyFont="1" applyAlignment="1">
      <alignment horizontal="center" vertical="top"/>
    </xf>
    <xf numFmtId="167" fontId="24" fillId="13" borderId="0" xfId="0" applyNumberFormat="1" applyFont="1" applyFill="1" applyAlignment="1">
      <alignment horizontal="center" vertical="top"/>
    </xf>
    <xf numFmtId="167" fontId="0" fillId="0" borderId="0" xfId="0" applyNumberFormat="1" applyFont="1" applyAlignment="1"/>
    <xf numFmtId="49" fontId="24" fillId="15" borderId="0" xfId="0" applyNumberFormat="1" applyFont="1" applyFill="1" applyAlignment="1">
      <alignment horizontal="left" vertical="top"/>
    </xf>
    <xf numFmtId="167" fontId="24" fillId="15" borderId="0" xfId="0" applyNumberFormat="1" applyFont="1" applyFill="1" applyAlignment="1">
      <alignment horizontal="center" vertical="top"/>
    </xf>
    <xf numFmtId="4" fontId="24" fillId="15" borderId="0" xfId="0" applyNumberFormat="1" applyFont="1" applyFill="1" applyAlignment="1">
      <alignment horizontal="center" vertical="top"/>
    </xf>
    <xf numFmtId="37" fontId="35" fillId="3" borderId="17" xfId="0" applyNumberFormat="1" applyFont="1" applyFill="1" applyBorder="1"/>
    <xf numFmtId="0" fontId="34" fillId="3" borderId="20" xfId="0" applyFont="1" applyFill="1" applyBorder="1"/>
    <xf numFmtId="0" fontId="22" fillId="0" borderId="1" xfId="2"/>
    <xf numFmtId="0" fontId="68" fillId="0" borderId="1" xfId="2" applyFont="1"/>
    <xf numFmtId="0" fontId="68" fillId="0" borderId="1" xfId="2" applyFont="1" applyAlignment="1">
      <alignment horizontal="center"/>
    </xf>
    <xf numFmtId="0" fontId="69" fillId="0" borderId="1" xfId="2" applyFont="1"/>
    <xf numFmtId="170" fontId="70" fillId="0" borderId="1" xfId="2" applyNumberFormat="1" applyFont="1" applyAlignment="1">
      <alignment horizontal="left"/>
    </xf>
    <xf numFmtId="0" fontId="70" fillId="0" borderId="1" xfId="2" applyFont="1"/>
    <xf numFmtId="0" fontId="71" fillId="0" borderId="1" xfId="2" applyFont="1"/>
    <xf numFmtId="0" fontId="59" fillId="0" borderId="1" xfId="2" applyFont="1"/>
    <xf numFmtId="0" fontId="72" fillId="0" borderId="1" xfId="2" applyFont="1"/>
    <xf numFmtId="0" fontId="73" fillId="0" borderId="1" xfId="2" applyFont="1"/>
    <xf numFmtId="0" fontId="74" fillId="0" borderId="1" xfId="2" applyFont="1"/>
    <xf numFmtId="0" fontId="76" fillId="16" borderId="1" xfId="2" applyFont="1" applyFill="1"/>
    <xf numFmtId="0" fontId="74" fillId="16" borderId="1" xfId="2" applyFont="1" applyFill="1"/>
    <xf numFmtId="0" fontId="77" fillId="16" borderId="1" xfId="2" applyFont="1" applyFill="1"/>
    <xf numFmtId="0" fontId="78" fillId="16" borderId="1" xfId="2" applyFont="1" applyFill="1" applyAlignment="1">
      <alignment horizontal="centerContinuous" vertical="center"/>
    </xf>
    <xf numFmtId="0" fontId="74" fillId="16" borderId="1" xfId="2" applyFont="1" applyFill="1" applyAlignment="1">
      <alignment horizontal="centerContinuous" vertical="center"/>
    </xf>
    <xf numFmtId="0" fontId="76" fillId="16" borderId="1" xfId="2" applyFont="1" applyFill="1" applyAlignment="1">
      <alignment horizontal="centerContinuous"/>
    </xf>
    <xf numFmtId="0" fontId="74" fillId="16" borderId="1" xfId="2" applyFont="1" applyFill="1" applyAlignment="1">
      <alignment horizontal="centerContinuous"/>
    </xf>
    <xf numFmtId="0" fontId="79" fillId="16" borderId="1" xfId="2" applyFont="1" applyFill="1" applyAlignment="1">
      <alignment horizontal="center"/>
    </xf>
    <xf numFmtId="171" fontId="74" fillId="16" borderId="1" xfId="2" applyNumberFormat="1" applyFont="1" applyFill="1"/>
    <xf numFmtId="37" fontId="74" fillId="16" borderId="1" xfId="2" applyNumberFormat="1" applyFont="1" applyFill="1"/>
    <xf numFmtId="171" fontId="76" fillId="16" borderId="1" xfId="2" applyNumberFormat="1" applyFont="1" applyFill="1"/>
    <xf numFmtId="37" fontId="76" fillId="16" borderId="1" xfId="2" applyNumberFormat="1" applyFont="1" applyFill="1"/>
    <xf numFmtId="0" fontId="80" fillId="16" borderId="1" xfId="2" applyFont="1" applyFill="1"/>
    <xf numFmtId="0" fontId="79" fillId="16" borderId="1" xfId="2" applyFont="1" applyFill="1" applyAlignment="1">
      <alignment horizontal="centerContinuous"/>
    </xf>
    <xf numFmtId="0" fontId="79" fillId="16" borderId="1" xfId="2" applyFont="1" applyFill="1" applyAlignment="1">
      <alignment horizontal="left"/>
    </xf>
    <xf numFmtId="0" fontId="81" fillId="16" borderId="1" xfId="2" applyFont="1" applyFill="1" applyProtection="1">
      <protection locked="0"/>
    </xf>
    <xf numFmtId="0" fontId="74" fillId="16" borderId="1" xfId="2" applyFont="1" applyFill="1" applyAlignment="1">
      <alignment horizontal="center"/>
    </xf>
    <xf numFmtId="0" fontId="82" fillId="16" borderId="1" xfId="2" applyFont="1" applyFill="1" applyAlignment="1">
      <alignment horizontal="centerContinuous"/>
    </xf>
    <xf numFmtId="0" fontId="76" fillId="16" borderId="1" xfId="2" applyFont="1" applyFill="1" applyAlignment="1">
      <alignment horizontal="left"/>
    </xf>
    <xf numFmtId="0" fontId="22" fillId="0" borderId="1" xfId="2" applyAlignment="1">
      <alignment horizontal="center"/>
    </xf>
    <xf numFmtId="0" fontId="83" fillId="0" borderId="1" xfId="2" applyFont="1" applyBorder="1" applyAlignment="1">
      <alignment horizontal="center"/>
    </xf>
    <xf numFmtId="0" fontId="68" fillId="13" borderId="54" xfId="2" applyFont="1" applyFill="1" applyBorder="1" applyAlignment="1">
      <alignment horizontal="center"/>
    </xf>
    <xf numFmtId="0" fontId="71" fillId="0" borderId="1" xfId="2" applyFont="1" applyAlignment="1">
      <alignment horizontal="center"/>
    </xf>
    <xf numFmtId="0" fontId="33" fillId="0" borderId="0" xfId="0" applyFont="1" applyAlignment="1">
      <alignment horizontal="center"/>
    </xf>
    <xf numFmtId="0" fontId="22" fillId="0" borderId="1" xfId="2" applyFill="1" applyAlignment="1">
      <alignment horizontal="center"/>
    </xf>
    <xf numFmtId="0" fontId="83" fillId="0" borderId="1" xfId="2" applyFont="1" applyFill="1" applyBorder="1" applyAlignment="1">
      <alignment horizontal="center"/>
    </xf>
    <xf numFmtId="0" fontId="68" fillId="0" borderId="1" xfId="2" applyFont="1" applyFill="1" applyBorder="1" applyAlignment="1">
      <alignment horizontal="center"/>
    </xf>
    <xf numFmtId="0" fontId="22" fillId="0" borderId="1" xfId="2" applyFill="1"/>
    <xf numFmtId="0" fontId="33" fillId="17" borderId="0" xfId="0" applyFont="1" applyFill="1"/>
    <xf numFmtId="171" fontId="34" fillId="0" borderId="1" xfId="1" applyNumberFormat="1" applyFont="1" applyFill="1" applyBorder="1"/>
    <xf numFmtId="171" fontId="35" fillId="0" borderId="9" xfId="0" applyNumberFormat="1" applyFont="1" applyFill="1" applyBorder="1"/>
    <xf numFmtId="3" fontId="34" fillId="0" borderId="22" xfId="0" applyNumberFormat="1" applyFont="1" applyBorder="1" applyAlignment="1">
      <alignment horizontal="right"/>
    </xf>
    <xf numFmtId="0" fontId="84" fillId="0" borderId="0" xfId="0" applyFont="1" applyAlignment="1"/>
    <xf numFmtId="0" fontId="36" fillId="0" borderId="0" xfId="0" applyFont="1" applyAlignment="1"/>
    <xf numFmtId="3" fontId="34" fillId="0" borderId="167" xfId="0" applyNumberFormat="1" applyFont="1" applyBorder="1"/>
    <xf numFmtId="3" fontId="34" fillId="0" borderId="168" xfId="0" applyNumberFormat="1" applyFont="1" applyBorder="1"/>
    <xf numFmtId="3" fontId="34" fillId="0" borderId="169" xfId="0" applyNumberFormat="1" applyFont="1" applyBorder="1"/>
    <xf numFmtId="3" fontId="34" fillId="0" borderId="24" xfId="0" applyNumberFormat="1" applyFont="1" applyFill="1" applyBorder="1"/>
    <xf numFmtId="3" fontId="34" fillId="0" borderId="25" xfId="0" applyNumberFormat="1" applyFont="1" applyFill="1" applyBorder="1"/>
    <xf numFmtId="0" fontId="85" fillId="0" borderId="0" xfId="0" applyFont="1" applyAlignment="1"/>
    <xf numFmtId="0" fontId="59" fillId="0" borderId="108" xfId="0" applyFont="1" applyBorder="1"/>
    <xf numFmtId="171" fontId="43" fillId="3" borderId="57" xfId="0" applyNumberFormat="1" applyFont="1" applyFill="1" applyBorder="1"/>
    <xf numFmtId="0" fontId="21" fillId="0" borderId="1" xfId="3"/>
    <xf numFmtId="0" fontId="86" fillId="0" borderId="172" xfId="3" applyFont="1" applyBorder="1"/>
    <xf numFmtId="0" fontId="21" fillId="0" borderId="172" xfId="3" applyBorder="1"/>
    <xf numFmtId="0" fontId="21" fillId="0" borderId="172" xfId="3" applyBorder="1" applyAlignment="1">
      <alignment horizontal="left" indent="1"/>
    </xf>
    <xf numFmtId="0" fontId="86" fillId="0" borderId="189" xfId="3" applyFont="1" applyBorder="1"/>
    <xf numFmtId="0" fontId="86" fillId="18" borderId="170" xfId="3" applyFont="1" applyFill="1" applyBorder="1" applyAlignment="1">
      <alignment horizontal="center"/>
    </xf>
    <xf numFmtId="0" fontId="86" fillId="18" borderId="177" xfId="3" applyFont="1" applyFill="1" applyBorder="1" applyAlignment="1">
      <alignment horizontal="center"/>
    </xf>
    <xf numFmtId="0" fontId="86" fillId="18" borderId="178" xfId="3" applyFont="1" applyFill="1" applyBorder="1" applyAlignment="1">
      <alignment horizontal="center"/>
    </xf>
    <xf numFmtId="0" fontId="86" fillId="18" borderId="127" xfId="3" applyFont="1" applyFill="1" applyBorder="1" applyAlignment="1">
      <alignment horizontal="center"/>
    </xf>
    <xf numFmtId="0" fontId="86" fillId="18" borderId="171" xfId="3" applyFont="1" applyFill="1" applyBorder="1" applyAlignment="1">
      <alignment horizontal="center"/>
    </xf>
    <xf numFmtId="0" fontId="86" fillId="19" borderId="170" xfId="3" applyFont="1" applyFill="1" applyBorder="1" applyAlignment="1">
      <alignment horizontal="center"/>
    </xf>
    <xf numFmtId="0" fontId="86" fillId="19" borderId="177" xfId="3" applyFont="1" applyFill="1" applyBorder="1" applyAlignment="1">
      <alignment horizontal="center"/>
    </xf>
    <xf numFmtId="0" fontId="86" fillId="19" borderId="178" xfId="3" applyFont="1" applyFill="1" applyBorder="1" applyAlignment="1">
      <alignment horizontal="center"/>
    </xf>
    <xf numFmtId="0" fontId="86" fillId="19" borderId="179" xfId="3" applyFont="1" applyFill="1" applyBorder="1" applyAlignment="1">
      <alignment horizontal="center"/>
    </xf>
    <xf numFmtId="0" fontId="86" fillId="19" borderId="127" xfId="3" applyFont="1" applyFill="1" applyBorder="1" applyAlignment="1">
      <alignment horizontal="center"/>
    </xf>
    <xf numFmtId="0" fontId="86" fillId="19" borderId="171" xfId="3" applyFont="1" applyFill="1" applyBorder="1" applyAlignment="1">
      <alignment horizontal="center"/>
    </xf>
    <xf numFmtId="0" fontId="21" fillId="0" borderId="1" xfId="3" applyAlignment="1">
      <alignment horizontal="center"/>
    </xf>
    <xf numFmtId="0" fontId="86" fillId="11" borderId="170" xfId="3" applyFont="1" applyFill="1" applyBorder="1" applyAlignment="1">
      <alignment horizontal="center"/>
    </xf>
    <xf numFmtId="0" fontId="86" fillId="11" borderId="177" xfId="3" applyFont="1" applyFill="1" applyBorder="1" applyAlignment="1">
      <alignment horizontal="center"/>
    </xf>
    <xf numFmtId="0" fontId="86" fillId="11" borderId="178" xfId="3" applyFont="1" applyFill="1" applyBorder="1" applyAlignment="1">
      <alignment horizontal="center"/>
    </xf>
    <xf numFmtId="0" fontId="86" fillId="11" borderId="127" xfId="3" applyFont="1" applyFill="1" applyBorder="1" applyAlignment="1">
      <alignment horizontal="center"/>
    </xf>
    <xf numFmtId="0" fontId="86" fillId="11" borderId="171" xfId="3" applyFont="1" applyFill="1" applyBorder="1" applyAlignment="1">
      <alignment horizontal="center"/>
    </xf>
    <xf numFmtId="37" fontId="86" fillId="0" borderId="180" xfId="3" applyNumberFormat="1" applyFont="1" applyBorder="1" applyAlignment="1">
      <alignment horizontal="center"/>
    </xf>
    <xf numFmtId="1" fontId="86" fillId="0" borderId="181" xfId="3" applyNumberFormat="1" applyFont="1" applyBorder="1" applyAlignment="1">
      <alignment horizontal="center"/>
    </xf>
    <xf numFmtId="1" fontId="86" fillId="0" borderId="161" xfId="3" applyNumberFormat="1" applyFont="1" applyBorder="1" applyAlignment="1">
      <alignment horizontal="center"/>
    </xf>
    <xf numFmtId="1" fontId="86" fillId="0" borderId="173" xfId="3" applyNumberFormat="1" applyFont="1" applyBorder="1" applyAlignment="1">
      <alignment horizontal="center"/>
    </xf>
    <xf numFmtId="167" fontId="86" fillId="0" borderId="180" xfId="3" applyNumberFormat="1" applyFont="1" applyBorder="1" applyAlignment="1">
      <alignment horizontal="center"/>
    </xf>
    <xf numFmtId="167" fontId="86" fillId="0" borderId="181" xfId="3" applyNumberFormat="1" applyFont="1" applyBorder="1" applyAlignment="1">
      <alignment horizontal="center"/>
    </xf>
    <xf numFmtId="167" fontId="86" fillId="0" borderId="161" xfId="3" applyNumberFormat="1" applyFont="1" applyBorder="1" applyAlignment="1">
      <alignment horizontal="center"/>
    </xf>
    <xf numFmtId="167" fontId="86" fillId="0" borderId="173" xfId="3" applyNumberFormat="1" applyFont="1" applyBorder="1" applyAlignment="1">
      <alignment horizontal="center"/>
    </xf>
    <xf numFmtId="0" fontId="21" fillId="0" borderId="174" xfId="3" applyBorder="1"/>
    <xf numFmtId="0" fontId="86" fillId="20" borderId="170" xfId="3" applyFont="1" applyFill="1" applyBorder="1" applyAlignment="1">
      <alignment horizontal="center"/>
    </xf>
    <xf numFmtId="0" fontId="86" fillId="20" borderId="177" xfId="3" applyFont="1" applyFill="1" applyBorder="1" applyAlignment="1">
      <alignment horizontal="center"/>
    </xf>
    <xf numFmtId="0" fontId="86" fillId="20" borderId="178" xfId="3" applyFont="1" applyFill="1" applyBorder="1" applyAlignment="1">
      <alignment horizontal="center"/>
    </xf>
    <xf numFmtId="0" fontId="86" fillId="20" borderId="127" xfId="3" applyFont="1" applyFill="1" applyBorder="1" applyAlignment="1">
      <alignment horizontal="center"/>
    </xf>
    <xf numFmtId="0" fontId="86" fillId="20" borderId="171" xfId="3" applyFont="1" applyFill="1" applyBorder="1" applyAlignment="1">
      <alignment horizontal="center"/>
    </xf>
    <xf numFmtId="0" fontId="86" fillId="0" borderId="172" xfId="3" applyFont="1" applyBorder="1" applyAlignment="1">
      <alignment horizontal="left"/>
    </xf>
    <xf numFmtId="9" fontId="86" fillId="0" borderId="183" xfId="4" applyFont="1" applyBorder="1" applyAlignment="1">
      <alignment horizontal="center"/>
    </xf>
    <xf numFmtId="9" fontId="86" fillId="0" borderId="184" xfId="4" applyFont="1" applyBorder="1" applyAlignment="1">
      <alignment horizontal="center"/>
    </xf>
    <xf numFmtId="9" fontId="86" fillId="0" borderId="185" xfId="4" applyFont="1" applyBorder="1" applyAlignment="1">
      <alignment horizontal="center"/>
    </xf>
    <xf numFmtId="9" fontId="86" fillId="0" borderId="180" xfId="4" applyFont="1" applyBorder="1" applyAlignment="1">
      <alignment horizontal="center"/>
    </xf>
    <xf numFmtId="9" fontId="86" fillId="0" borderId="181" xfId="4" applyFont="1" applyBorder="1" applyAlignment="1">
      <alignment horizontal="center"/>
    </xf>
    <xf numFmtId="9" fontId="86" fillId="0" borderId="182" xfId="4" applyFont="1" applyBorder="1" applyAlignment="1">
      <alignment horizontal="center"/>
    </xf>
    <xf numFmtId="0" fontId="86" fillId="21" borderId="170" xfId="3" applyFont="1" applyFill="1" applyBorder="1" applyAlignment="1">
      <alignment horizontal="center"/>
    </xf>
    <xf numFmtId="0" fontId="86" fillId="21" borderId="177" xfId="3" applyFont="1" applyFill="1" applyBorder="1" applyAlignment="1">
      <alignment horizontal="center"/>
    </xf>
    <xf numFmtId="0" fontId="86" fillId="21" borderId="178" xfId="3" applyFont="1" applyFill="1" applyBorder="1" applyAlignment="1">
      <alignment horizontal="center"/>
    </xf>
    <xf numFmtId="0" fontId="86" fillId="21" borderId="127" xfId="3" applyFont="1" applyFill="1" applyBorder="1" applyAlignment="1">
      <alignment horizontal="center"/>
    </xf>
    <xf numFmtId="0" fontId="86" fillId="21" borderId="171" xfId="3" applyFont="1" applyFill="1" applyBorder="1" applyAlignment="1">
      <alignment horizontal="center"/>
    </xf>
    <xf numFmtId="0" fontId="37" fillId="0" borderId="101" xfId="0" applyFont="1" applyBorder="1"/>
    <xf numFmtId="0" fontId="37" fillId="0" borderId="195" xfId="0" applyFont="1" applyBorder="1"/>
    <xf numFmtId="0" fontId="37" fillId="0" borderId="54" xfId="0" applyFont="1" applyBorder="1" applyAlignment="1">
      <alignment horizontal="right"/>
    </xf>
    <xf numFmtId="0" fontId="37" fillId="0" borderId="54" xfId="0" applyFont="1" applyBorder="1"/>
    <xf numFmtId="37" fontId="37" fillId="0" borderId="196" xfId="0" applyNumberFormat="1" applyFont="1" applyBorder="1"/>
    <xf numFmtId="0" fontId="37" fillId="0" borderId="197" xfId="0" applyFont="1" applyBorder="1"/>
    <xf numFmtId="172" fontId="37" fillId="0" borderId="54" xfId="0" applyNumberFormat="1" applyFont="1" applyBorder="1"/>
    <xf numFmtId="37" fontId="37" fillId="0" borderId="197" xfId="0" applyNumberFormat="1" applyFont="1" applyBorder="1"/>
    <xf numFmtId="37" fontId="37" fillId="0" borderId="54" xfId="0" applyNumberFormat="1" applyFont="1" applyBorder="1"/>
    <xf numFmtId="171" fontId="37" fillId="0" borderId="54" xfId="0" applyNumberFormat="1" applyFont="1" applyBorder="1"/>
    <xf numFmtId="37" fontId="37" fillId="0" borderId="198" xfId="0" applyNumberFormat="1" applyFont="1" applyBorder="1"/>
    <xf numFmtId="171" fontId="37" fillId="0" borderId="199" xfId="0" applyNumberFormat="1" applyFont="1" applyBorder="1"/>
    <xf numFmtId="1" fontId="56" fillId="10" borderId="44" xfId="0" applyNumberFormat="1" applyFont="1" applyFill="1" applyBorder="1" applyAlignment="1">
      <alignment horizontal="left" vertical="top"/>
    </xf>
    <xf numFmtId="0" fontId="60" fillId="22" borderId="104" xfId="0" applyFont="1" applyFill="1" applyBorder="1" applyAlignment="1">
      <alignment horizontal="center"/>
    </xf>
    <xf numFmtId="0" fontId="59" fillId="22" borderId="107" xfId="0" applyFont="1" applyFill="1" applyBorder="1"/>
    <xf numFmtId="3" fontId="59" fillId="22" borderId="108" xfId="0" applyNumberFormat="1" applyFont="1" applyFill="1" applyBorder="1" applyAlignment="1">
      <alignment horizontal="center"/>
    </xf>
    <xf numFmtId="3" fontId="59" fillId="22" borderId="0" xfId="0" applyNumberFormat="1" applyFont="1" applyFill="1" applyAlignment="1">
      <alignment horizontal="center"/>
    </xf>
    <xf numFmtId="3" fontId="59" fillId="22" borderId="109" xfId="0" applyNumberFormat="1" applyFont="1" applyFill="1" applyBorder="1" applyAlignment="1">
      <alignment horizontal="center"/>
    </xf>
    <xf numFmtId="0" fontId="59" fillId="22" borderId="110" xfId="0" applyFont="1" applyFill="1" applyBorder="1"/>
    <xf numFmtId="3" fontId="59" fillId="22" borderId="110" xfId="0" applyNumberFormat="1" applyFont="1" applyFill="1" applyBorder="1" applyAlignment="1">
      <alignment horizontal="center"/>
    </xf>
    <xf numFmtId="3" fontId="59" fillId="22" borderId="103" xfId="0" applyNumberFormat="1" applyFont="1" applyFill="1" applyBorder="1" applyAlignment="1">
      <alignment horizontal="center"/>
    </xf>
    <xf numFmtId="3" fontId="59" fillId="22" borderId="111" xfId="0" applyNumberFormat="1" applyFont="1" applyFill="1" applyBorder="1" applyAlignment="1">
      <alignment horizontal="right"/>
    </xf>
    <xf numFmtId="3" fontId="59" fillId="22" borderId="111" xfId="0" applyNumberFormat="1" applyFont="1" applyFill="1" applyBorder="1" applyAlignment="1" applyProtection="1">
      <alignment horizontal="right"/>
      <protection locked="0"/>
    </xf>
    <xf numFmtId="0" fontId="59" fillId="22" borderId="108" xfId="0" applyFont="1" applyFill="1" applyBorder="1"/>
    <xf numFmtId="3" fontId="59" fillId="22" borderId="108" xfId="0" applyNumberFormat="1" applyFont="1" applyFill="1" applyBorder="1"/>
    <xf numFmtId="3" fontId="59" fillId="22" borderId="0" xfId="0" applyNumberFormat="1" applyFont="1" applyFill="1"/>
    <xf numFmtId="3" fontId="59" fillId="22" borderId="109" xfId="0" applyNumberFormat="1" applyFont="1" applyFill="1" applyBorder="1"/>
    <xf numFmtId="3" fontId="59" fillId="22" borderId="108" xfId="0" applyNumberFormat="1" applyFont="1" applyFill="1" applyBorder="1" applyProtection="1">
      <protection locked="0"/>
    </xf>
    <xf numFmtId="3" fontId="59" fillId="22" borderId="109" xfId="0" applyNumberFormat="1" applyFont="1" applyFill="1" applyBorder="1" applyProtection="1">
      <protection locked="0"/>
    </xf>
    <xf numFmtId="0" fontId="60" fillId="22" borderId="107" xfId="0" applyFont="1" applyFill="1" applyBorder="1"/>
    <xf numFmtId="3" fontId="60" fillId="22" borderId="107" xfId="0" applyNumberFormat="1" applyFont="1" applyFill="1" applyBorder="1"/>
    <xf numFmtId="3" fontId="60" fillId="22" borderId="112" xfId="0" applyNumberFormat="1" applyFont="1" applyFill="1" applyBorder="1"/>
    <xf numFmtId="3" fontId="60" fillId="22" borderId="113" xfId="0" applyNumberFormat="1" applyFont="1" applyFill="1" applyBorder="1"/>
    <xf numFmtId="0" fontId="59" fillId="22" borderId="109" xfId="0" applyFont="1" applyFill="1" applyBorder="1"/>
    <xf numFmtId="0" fontId="60" fillId="22" borderId="114" xfId="0" applyFont="1" applyFill="1" applyBorder="1"/>
    <xf numFmtId="3" fontId="59" fillId="22" borderId="114" xfId="0" applyNumberFormat="1" applyFont="1" applyFill="1" applyBorder="1"/>
    <xf numFmtId="3" fontId="59" fillId="22" borderId="53" xfId="0" applyNumberFormat="1" applyFont="1" applyFill="1" applyBorder="1"/>
    <xf numFmtId="3" fontId="59" fillId="22" borderId="115" xfId="0" applyNumberFormat="1" applyFont="1" applyFill="1" applyBorder="1"/>
    <xf numFmtId="3" fontId="59" fillId="22" borderId="114" xfId="0" applyNumberFormat="1" applyFont="1" applyFill="1" applyBorder="1" applyProtection="1">
      <protection locked="0"/>
    </xf>
    <xf numFmtId="3" fontId="59" fillId="22" borderId="115" xfId="0" applyNumberFormat="1" applyFont="1" applyFill="1" applyBorder="1" applyProtection="1">
      <protection locked="0"/>
    </xf>
    <xf numFmtId="0" fontId="60" fillId="22" borderId="108" xfId="0" applyFont="1" applyFill="1" applyBorder="1"/>
    <xf numFmtId="3" fontId="59" fillId="22" borderId="107" xfId="0" applyNumberFormat="1" applyFont="1" applyFill="1" applyBorder="1"/>
    <xf numFmtId="3" fontId="59" fillId="22" borderId="112" xfId="0" applyNumberFormat="1" applyFont="1" applyFill="1" applyBorder="1"/>
    <xf numFmtId="3" fontId="59" fillId="22" borderId="113" xfId="0" applyNumberFormat="1" applyFont="1" applyFill="1" applyBorder="1"/>
    <xf numFmtId="0" fontId="60" fillId="22" borderId="110" xfId="0" applyFont="1" applyFill="1" applyBorder="1"/>
    <xf numFmtId="0" fontId="59" fillId="22" borderId="0" xfId="0" applyFont="1" applyFill="1"/>
    <xf numFmtId="37" fontId="59" fillId="22" borderId="109" xfId="0" applyNumberFormat="1" applyFont="1" applyFill="1" applyBorder="1"/>
    <xf numFmtId="0" fontId="60" fillId="23" borderId="116" xfId="0" applyFont="1" applyFill="1" applyBorder="1"/>
    <xf numFmtId="37" fontId="60" fillId="23" borderId="116" xfId="0" applyNumberFormat="1" applyFont="1" applyFill="1" applyBorder="1"/>
    <xf numFmtId="172" fontId="60" fillId="23" borderId="117" xfId="0" applyNumberFormat="1" applyFont="1" applyFill="1" applyBorder="1"/>
    <xf numFmtId="37" fontId="60" fillId="23" borderId="118" xfId="0" applyNumberFormat="1" applyFont="1" applyFill="1" applyBorder="1"/>
    <xf numFmtId="0" fontId="60" fillId="23" borderId="119" xfId="0" applyFont="1" applyFill="1" applyBorder="1"/>
    <xf numFmtId="0" fontId="60" fillId="23" borderId="120" xfId="0" applyFont="1" applyFill="1" applyBorder="1"/>
    <xf numFmtId="0" fontId="60" fillId="23" borderId="121" xfId="0" applyFont="1" applyFill="1" applyBorder="1"/>
    <xf numFmtId="0" fontId="60" fillId="24" borderId="108" xfId="0" applyFont="1" applyFill="1" applyBorder="1"/>
    <xf numFmtId="0" fontId="60" fillId="24" borderId="0" xfId="0" applyFont="1" applyFill="1"/>
    <xf numFmtId="0" fontId="60" fillId="24" borderId="109" xfId="0" applyFont="1" applyFill="1" applyBorder="1"/>
    <xf numFmtId="0" fontId="60" fillId="22" borderId="108" xfId="0" applyFont="1" applyFill="1" applyBorder="1" applyAlignment="1">
      <alignment horizontal="left"/>
    </xf>
    <xf numFmtId="0" fontId="59" fillId="22" borderId="0" xfId="0" applyFont="1" applyFill="1" applyAlignment="1">
      <alignment horizontal="center"/>
    </xf>
    <xf numFmtId="9" fontId="59" fillId="22" borderId="108" xfId="1" applyFont="1" applyFill="1" applyBorder="1"/>
    <xf numFmtId="37" fontId="59" fillId="22" borderId="0" xfId="0" applyNumberFormat="1" applyFont="1" applyFill="1"/>
    <xf numFmtId="37" fontId="59" fillId="22" borderId="109" xfId="0" applyNumberFormat="1" applyFont="1" applyFill="1" applyBorder="1" applyProtection="1">
      <protection locked="0"/>
    </xf>
    <xf numFmtId="9" fontId="59" fillId="22" borderId="110" xfId="1" applyFont="1" applyFill="1" applyBorder="1"/>
    <xf numFmtId="37" fontId="59" fillId="22" borderId="103" xfId="0" applyNumberFormat="1" applyFont="1" applyFill="1" applyBorder="1"/>
    <xf numFmtId="37" fontId="59" fillId="22" borderId="111" xfId="0" applyNumberFormat="1" applyFont="1" applyFill="1" applyBorder="1"/>
    <xf numFmtId="37" fontId="59" fillId="22" borderId="111" xfId="0" applyNumberFormat="1" applyFont="1" applyFill="1" applyBorder="1" applyProtection="1">
      <protection locked="0"/>
    </xf>
    <xf numFmtId="0" fontId="60" fillId="23" borderId="122" xfId="0" applyFont="1" applyFill="1" applyBorder="1"/>
    <xf numFmtId="0" fontId="60" fillId="23" borderId="122" xfId="0" applyFont="1" applyFill="1" applyBorder="1" applyAlignment="1">
      <alignment horizontal="center"/>
    </xf>
    <xf numFmtId="171" fontId="60" fillId="23" borderId="123" xfId="0" applyNumberFormat="1" applyFont="1" applyFill="1" applyBorder="1"/>
    <xf numFmtId="37" fontId="60" fillId="23" borderId="124" xfId="0" applyNumberFormat="1" applyFont="1" applyFill="1" applyBorder="1"/>
    <xf numFmtId="0" fontId="63" fillId="22" borderId="108" xfId="0" applyFont="1" applyFill="1" applyBorder="1"/>
    <xf numFmtId="0" fontId="63" fillId="22" borderId="110" xfId="0" applyFont="1" applyFill="1" applyBorder="1"/>
    <xf numFmtId="0" fontId="59" fillId="22" borderId="112" xfId="0" applyFont="1" applyFill="1" applyBorder="1"/>
    <xf numFmtId="37" fontId="59" fillId="22" borderId="113" xfId="0" applyNumberFormat="1" applyFont="1" applyFill="1" applyBorder="1"/>
    <xf numFmtId="37" fontId="59" fillId="22" borderId="113" xfId="0" applyNumberFormat="1" applyFont="1" applyFill="1" applyBorder="1" applyProtection="1">
      <protection locked="0"/>
    </xf>
    <xf numFmtId="0" fontId="63" fillId="24" borderId="108" xfId="0" applyFont="1" applyFill="1" applyBorder="1"/>
    <xf numFmtId="0" fontId="59" fillId="22" borderId="103" xfId="0" applyFont="1" applyFill="1" applyBorder="1"/>
    <xf numFmtId="0" fontId="59" fillId="22" borderId="114" xfId="0" applyFont="1" applyFill="1" applyBorder="1"/>
    <xf numFmtId="0" fontId="59" fillId="22" borderId="53" xfId="0" applyFont="1" applyFill="1" applyBorder="1"/>
    <xf numFmtId="37" fontId="59" fillId="22" borderId="115" xfId="0" applyNumberFormat="1" applyFont="1" applyFill="1" applyBorder="1"/>
    <xf numFmtId="37" fontId="59" fillId="22" borderId="115" xfId="0" applyNumberFormat="1" applyFont="1" applyFill="1" applyBorder="1" applyProtection="1">
      <protection locked="0"/>
    </xf>
    <xf numFmtId="0" fontId="60" fillId="23" borderId="125" xfId="0" applyFont="1" applyFill="1" applyBorder="1"/>
    <xf numFmtId="37" fontId="60" fillId="23" borderId="126" xfId="0" applyNumberFormat="1" applyFont="1" applyFill="1" applyBorder="1"/>
    <xf numFmtId="0" fontId="60" fillId="23" borderId="127" xfId="0" applyFont="1" applyFill="1" applyBorder="1"/>
    <xf numFmtId="0" fontId="60" fillId="23" borderId="128" xfId="0" applyFont="1" applyFill="1" applyBorder="1" applyAlignment="1">
      <alignment horizontal="center"/>
    </xf>
    <xf numFmtId="171" fontId="60" fillId="23" borderId="129" xfId="0" applyNumberFormat="1" applyFont="1" applyFill="1" applyBorder="1"/>
    <xf numFmtId="37" fontId="60" fillId="23" borderId="130" xfId="0" applyNumberFormat="1" applyFont="1" applyFill="1" applyBorder="1"/>
    <xf numFmtId="0" fontId="59" fillId="24" borderId="110" xfId="0" applyFont="1" applyFill="1" applyBorder="1"/>
    <xf numFmtId="0" fontId="59" fillId="24" borderId="103" xfId="0" applyFont="1" applyFill="1" applyBorder="1"/>
    <xf numFmtId="37" fontId="60" fillId="24" borderId="109" xfId="0" applyNumberFormat="1" applyFont="1" applyFill="1" applyBorder="1"/>
    <xf numFmtId="0" fontId="60" fillId="23" borderId="131" xfId="0" applyFont="1" applyFill="1" applyBorder="1"/>
    <xf numFmtId="0" fontId="59" fillId="23" borderId="131" xfId="0" applyFont="1" applyFill="1" applyBorder="1"/>
    <xf numFmtId="0" fontId="59" fillId="23" borderId="132" xfId="0" applyFont="1" applyFill="1" applyBorder="1"/>
    <xf numFmtId="37" fontId="60" fillId="23" borderId="133" xfId="0" applyNumberFormat="1" applyFont="1" applyFill="1" applyBorder="1"/>
    <xf numFmtId="0" fontId="72" fillId="22" borderId="0" xfId="0" applyFont="1" applyFill="1"/>
    <xf numFmtId="37" fontId="72" fillId="22" borderId="0" xfId="0" applyNumberFormat="1" applyFont="1" applyFill="1"/>
    <xf numFmtId="0" fontId="70" fillId="22" borderId="0" xfId="0" applyFont="1" applyFill="1"/>
    <xf numFmtId="0" fontId="69" fillId="22" borderId="0" xfId="0" applyFont="1" applyFill="1"/>
    <xf numFmtId="0" fontId="68" fillId="22" borderId="0" xfId="0" applyFont="1" applyFill="1"/>
    <xf numFmtId="170" fontId="70" fillId="22" borderId="0" xfId="0" applyNumberFormat="1" applyFont="1" applyFill="1" applyAlignment="1">
      <alignment horizontal="left"/>
    </xf>
    <xf numFmtId="0" fontId="59" fillId="22" borderId="108" xfId="0" applyFont="1" applyFill="1" applyBorder="1" applyAlignment="1">
      <alignment horizontal="center"/>
    </xf>
    <xf numFmtId="0" fontId="59" fillId="22" borderId="109" xfId="0" applyFont="1" applyFill="1" applyBorder="1" applyAlignment="1">
      <alignment horizontal="center"/>
    </xf>
    <xf numFmtId="3" fontId="59" fillId="22" borderId="111" xfId="0" applyNumberFormat="1" applyFont="1" applyFill="1" applyBorder="1" applyAlignment="1" applyProtection="1">
      <alignment horizontal="center"/>
      <protection locked="0"/>
    </xf>
    <xf numFmtId="3" fontId="59" fillId="22" borderId="110" xfId="0" applyNumberFormat="1" applyFont="1" applyFill="1" applyBorder="1"/>
    <xf numFmtId="3" fontId="59" fillId="22" borderId="103" xfId="0" applyNumberFormat="1" applyFont="1" applyFill="1" applyBorder="1"/>
    <xf numFmtId="3" fontId="59" fillId="22" borderId="111" xfId="0" applyNumberFormat="1" applyFont="1" applyFill="1" applyBorder="1"/>
    <xf numFmtId="0" fontId="60" fillId="22" borderId="0" xfId="0" applyFont="1" applyFill="1"/>
    <xf numFmtId="0" fontId="60" fillId="22" borderId="109" xfId="0" applyFont="1" applyFill="1" applyBorder="1"/>
    <xf numFmtId="0" fontId="59" fillId="22" borderId="108" xfId="0" applyFont="1" applyFill="1" applyBorder="1" applyAlignment="1">
      <alignment horizontal="right"/>
    </xf>
    <xf numFmtId="171" fontId="59" fillId="22" borderId="0" xfId="0" applyNumberFormat="1" applyFont="1" applyFill="1"/>
    <xf numFmtId="0" fontId="60" fillId="23" borderId="125" xfId="0" applyFont="1" applyFill="1" applyBorder="1" applyAlignment="1">
      <alignment horizontal="center"/>
    </xf>
    <xf numFmtId="171" fontId="60" fillId="23" borderId="134" xfId="0" applyNumberFormat="1" applyFont="1" applyFill="1" applyBorder="1"/>
    <xf numFmtId="0" fontId="60" fillId="23" borderId="132" xfId="0" applyFont="1" applyFill="1" applyBorder="1"/>
    <xf numFmtId="37" fontId="70" fillId="22" borderId="0" xfId="0" applyNumberFormat="1" applyFont="1" applyFill="1"/>
    <xf numFmtId="37" fontId="59" fillId="22" borderId="108" xfId="0" applyNumberFormat="1" applyFont="1" applyFill="1" applyBorder="1"/>
    <xf numFmtId="37" fontId="59" fillId="22" borderId="108" xfId="0" applyNumberFormat="1" applyFont="1" applyFill="1" applyBorder="1" applyProtection="1">
      <protection locked="0"/>
    </xf>
    <xf numFmtId="37" fontId="59" fillId="22" borderId="0" xfId="0" applyNumberFormat="1" applyFont="1" applyFill="1" applyProtection="1">
      <protection locked="0"/>
    </xf>
    <xf numFmtId="171" fontId="59" fillId="22" borderId="109" xfId="0" applyNumberFormat="1" applyFont="1" applyFill="1" applyBorder="1"/>
    <xf numFmtId="37" fontId="59" fillId="22" borderId="110" xfId="0" applyNumberFormat="1" applyFont="1" applyFill="1" applyBorder="1"/>
    <xf numFmtId="2" fontId="59" fillId="22" borderId="103" xfId="0" applyNumberFormat="1" applyFont="1" applyFill="1" applyBorder="1"/>
    <xf numFmtId="171" fontId="59" fillId="22" borderId="111" xfId="0" applyNumberFormat="1" applyFont="1" applyFill="1" applyBorder="1"/>
    <xf numFmtId="37" fontId="59" fillId="22" borderId="107" xfId="0" applyNumberFormat="1" applyFont="1" applyFill="1" applyBorder="1"/>
    <xf numFmtId="37" fontId="59" fillId="22" borderId="112" xfId="0" applyNumberFormat="1" applyFont="1" applyFill="1" applyBorder="1"/>
    <xf numFmtId="37" fontId="59" fillId="22" borderId="107" xfId="0" applyNumberFormat="1" applyFont="1" applyFill="1" applyBorder="1" applyProtection="1">
      <protection locked="0"/>
    </xf>
    <xf numFmtId="37" fontId="59" fillId="22" borderId="112" xfId="0" applyNumberFormat="1" applyFont="1" applyFill="1" applyBorder="1" applyProtection="1">
      <protection locked="0"/>
    </xf>
    <xf numFmtId="172" fontId="59" fillId="22" borderId="0" xfId="0" applyNumberFormat="1" applyFont="1" applyFill="1"/>
    <xf numFmtId="173" fontId="59" fillId="22" borderId="0" xfId="0" applyNumberFormat="1" applyFont="1" applyFill="1"/>
    <xf numFmtId="37" fontId="60" fillId="22" borderId="108" xfId="0" applyNumberFormat="1" applyFont="1" applyFill="1" applyBorder="1"/>
    <xf numFmtId="172" fontId="60" fillId="22" borderId="0" xfId="0" applyNumberFormat="1" applyFont="1" applyFill="1"/>
    <xf numFmtId="37" fontId="60" fillId="22" borderId="110" xfId="0" applyNumberFormat="1" applyFont="1" applyFill="1" applyBorder="1"/>
    <xf numFmtId="173" fontId="59" fillId="22" borderId="103" xfId="0" applyNumberFormat="1" applyFont="1" applyFill="1" applyBorder="1"/>
    <xf numFmtId="0" fontId="60" fillId="24" borderId="116" xfId="0" applyFont="1" applyFill="1" applyBorder="1"/>
    <xf numFmtId="37" fontId="60" fillId="24" borderId="116" xfId="0" applyNumberFormat="1" applyFont="1" applyFill="1" applyBorder="1"/>
    <xf numFmtId="37" fontId="60" fillId="24" borderId="117" xfId="0" applyNumberFormat="1" applyFont="1" applyFill="1" applyBorder="1"/>
    <xf numFmtId="37" fontId="60" fillId="24" borderId="118" xfId="0" applyNumberFormat="1" applyFont="1" applyFill="1" applyBorder="1"/>
    <xf numFmtId="0" fontId="60" fillId="24" borderId="110" xfId="0" applyFont="1" applyFill="1" applyBorder="1"/>
    <xf numFmtId="37" fontId="60" fillId="24" borderId="110" xfId="0" applyNumberFormat="1" applyFont="1" applyFill="1" applyBorder="1"/>
    <xf numFmtId="39" fontId="60" fillId="24" borderId="103" xfId="0" applyNumberFormat="1" applyFont="1" applyFill="1" applyBorder="1"/>
    <xf numFmtId="171" fontId="60" fillId="22" borderId="109" xfId="0" applyNumberFormat="1" applyFont="1" applyFill="1" applyBorder="1"/>
    <xf numFmtId="0" fontId="60" fillId="24" borderId="107" xfId="0" applyFont="1" applyFill="1" applyBorder="1"/>
    <xf numFmtId="37" fontId="59" fillId="22" borderId="135" xfId="0" applyNumberFormat="1" applyFont="1" applyFill="1" applyBorder="1"/>
    <xf numFmtId="0" fontId="59" fillId="24" borderId="108" xfId="0" applyFont="1" applyFill="1" applyBorder="1"/>
    <xf numFmtId="172" fontId="59" fillId="22" borderId="0" xfId="0" applyNumberFormat="1" applyFont="1" applyFill="1" applyProtection="1">
      <protection locked="0"/>
    </xf>
    <xf numFmtId="0" fontId="59" fillId="24" borderId="136" xfId="0" applyFont="1" applyFill="1" applyBorder="1"/>
    <xf numFmtId="172" fontId="59" fillId="22" borderId="112" xfId="0" applyNumberFormat="1" applyFont="1" applyFill="1" applyBorder="1"/>
    <xf numFmtId="172" fontId="59" fillId="22" borderId="112" xfId="0" applyNumberFormat="1" applyFont="1" applyFill="1" applyBorder="1" applyProtection="1">
      <protection locked="0"/>
    </xf>
    <xf numFmtId="172" fontId="59" fillId="22" borderId="103" xfId="0" applyNumberFormat="1" applyFont="1" applyFill="1" applyBorder="1"/>
    <xf numFmtId="37" fontId="60" fillId="24" borderId="107" xfId="0" applyNumberFormat="1" applyFont="1" applyFill="1" applyBorder="1"/>
    <xf numFmtId="172" fontId="60" fillId="24" borderId="112" xfId="0" applyNumberFormat="1" applyFont="1" applyFill="1" applyBorder="1"/>
    <xf numFmtId="37" fontId="60" fillId="24" borderId="113" xfId="0" applyNumberFormat="1" applyFont="1" applyFill="1" applyBorder="1"/>
    <xf numFmtId="37" fontId="60" fillId="23" borderId="117" xfId="0" applyNumberFormat="1" applyFont="1" applyFill="1" applyBorder="1"/>
    <xf numFmtId="171" fontId="60" fillId="23" borderId="121" xfId="0" applyNumberFormat="1" applyFont="1" applyFill="1" applyBorder="1"/>
    <xf numFmtId="171" fontId="60" fillId="24" borderId="109" xfId="0" applyNumberFormat="1" applyFont="1" applyFill="1" applyBorder="1"/>
    <xf numFmtId="0" fontId="63" fillId="22" borderId="107" xfId="0" applyFont="1" applyFill="1" applyBorder="1"/>
    <xf numFmtId="0" fontId="63" fillId="22" borderId="136" xfId="0" applyFont="1" applyFill="1" applyBorder="1"/>
    <xf numFmtId="0" fontId="60" fillId="23" borderId="137" xfId="0" applyFont="1" applyFill="1" applyBorder="1"/>
    <xf numFmtId="37" fontId="60" fillId="22" borderId="107" xfId="0" applyNumberFormat="1" applyFont="1" applyFill="1" applyBorder="1"/>
    <xf numFmtId="171" fontId="60" fillId="22" borderId="112" xfId="0" applyNumberFormat="1" applyFont="1" applyFill="1" applyBorder="1"/>
    <xf numFmtId="37" fontId="60" fillId="22" borderId="113" xfId="0" applyNumberFormat="1" applyFont="1" applyFill="1" applyBorder="1"/>
    <xf numFmtId="0" fontId="59" fillId="22" borderId="111" xfId="0" applyFont="1" applyFill="1" applyBorder="1"/>
    <xf numFmtId="37" fontId="59" fillId="22" borderId="114" xfId="0" applyNumberFormat="1" applyFont="1" applyFill="1" applyBorder="1"/>
    <xf numFmtId="171" fontId="59" fillId="22" borderId="53" xfId="0" applyNumberFormat="1" applyFont="1" applyFill="1" applyBorder="1"/>
    <xf numFmtId="37" fontId="59" fillId="22" borderId="114" xfId="0" applyNumberFormat="1" applyFont="1" applyFill="1" applyBorder="1" applyProtection="1">
      <protection locked="0"/>
    </xf>
    <xf numFmtId="171" fontId="60" fillId="23" borderId="117" xfId="0" applyNumberFormat="1" applyFont="1" applyFill="1" applyBorder="1"/>
    <xf numFmtId="0" fontId="60" fillId="23" borderId="138" xfId="0" applyFont="1" applyFill="1" applyBorder="1"/>
    <xf numFmtId="37" fontId="60" fillId="23" borderId="138" xfId="0" applyNumberFormat="1" applyFont="1" applyFill="1" applyBorder="1"/>
    <xf numFmtId="172" fontId="60" fillId="23" borderId="139" xfId="0" applyNumberFormat="1" applyFont="1" applyFill="1" applyBorder="1"/>
    <xf numFmtId="37" fontId="60" fillId="23" borderId="140" xfId="0" applyNumberFormat="1" applyFont="1" applyFill="1" applyBorder="1"/>
    <xf numFmtId="37" fontId="60" fillId="24" borderId="108" xfId="0" applyNumberFormat="1" applyFont="1" applyFill="1" applyBorder="1"/>
    <xf numFmtId="172" fontId="60" fillId="24" borderId="0" xfId="0" applyNumberFormat="1" applyFont="1" applyFill="1"/>
    <xf numFmtId="37" fontId="60" fillId="22" borderId="0" xfId="0" applyNumberFormat="1" applyFont="1" applyFill="1"/>
    <xf numFmtId="0" fontId="60" fillId="23" borderId="141" xfId="0" applyFont="1" applyFill="1" applyBorder="1"/>
    <xf numFmtId="0" fontId="59" fillId="23" borderId="141" xfId="0" applyFont="1" applyFill="1" applyBorder="1"/>
    <xf numFmtId="0" fontId="59" fillId="23" borderId="142" xfId="0" applyFont="1" applyFill="1" applyBorder="1"/>
    <xf numFmtId="37" fontId="60" fillId="23" borderId="143" xfId="0" applyNumberFormat="1" applyFont="1" applyFill="1" applyBorder="1"/>
    <xf numFmtId="0" fontId="75" fillId="22" borderId="1" xfId="0" applyFont="1" applyFill="1" applyBorder="1" applyAlignment="1">
      <alignment horizontal="center" vertical="center"/>
    </xf>
    <xf numFmtId="0" fontId="70" fillId="22" borderId="120" xfId="0" applyFont="1" applyFill="1" applyBorder="1" applyAlignment="1">
      <alignment horizontal="center"/>
    </xf>
    <xf numFmtId="0" fontId="60" fillId="22" borderId="144" xfId="0" applyFont="1" applyFill="1" applyBorder="1" applyAlignment="1">
      <alignment horizontal="center"/>
    </xf>
    <xf numFmtId="0" fontId="59" fillId="22" borderId="145" xfId="0" applyFont="1" applyFill="1" applyBorder="1"/>
    <xf numFmtId="0" fontId="59" fillId="22" borderId="145" xfId="0" applyFont="1" applyFill="1" applyBorder="1" applyAlignment="1">
      <alignment horizontal="center"/>
    </xf>
    <xf numFmtId="0" fontId="59" fillId="22" borderId="103" xfId="0" applyFont="1" applyFill="1" applyBorder="1" applyAlignment="1">
      <alignment horizontal="center"/>
    </xf>
    <xf numFmtId="0" fontId="59" fillId="22" borderId="146" xfId="0" applyFont="1" applyFill="1" applyBorder="1" applyAlignment="1">
      <alignment horizontal="center"/>
    </xf>
    <xf numFmtId="0" fontId="63" fillId="22" borderId="145" xfId="0" applyFont="1" applyFill="1" applyBorder="1"/>
    <xf numFmtId="37" fontId="63" fillId="22" borderId="145" xfId="0" applyNumberFormat="1" applyFont="1" applyFill="1" applyBorder="1"/>
    <xf numFmtId="37" fontId="63" fillId="22" borderId="103" xfId="0" applyNumberFormat="1" applyFont="1" applyFill="1" applyBorder="1"/>
    <xf numFmtId="37" fontId="63" fillId="22" borderId="146" xfId="0" applyNumberFormat="1" applyFont="1" applyFill="1" applyBorder="1"/>
    <xf numFmtId="0" fontId="75" fillId="23" borderId="145" xfId="0" applyFont="1" applyFill="1" applyBorder="1"/>
    <xf numFmtId="37" fontId="75" fillId="23" borderId="145" xfId="0" applyNumberFormat="1" applyFont="1" applyFill="1" applyBorder="1"/>
    <xf numFmtId="37" fontId="75" fillId="23" borderId="103" xfId="0" applyNumberFormat="1" applyFont="1" applyFill="1" applyBorder="1"/>
    <xf numFmtId="37" fontId="75" fillId="23" borderId="146" xfId="0" applyNumberFormat="1" applyFont="1" applyFill="1" applyBorder="1"/>
    <xf numFmtId="0" fontId="75" fillId="22" borderId="70" xfId="0" applyFont="1" applyFill="1" applyBorder="1"/>
    <xf numFmtId="37" fontId="63" fillId="22" borderId="70" xfId="0" applyNumberFormat="1" applyFont="1" applyFill="1" applyBorder="1"/>
    <xf numFmtId="37" fontId="63" fillId="22" borderId="55" xfId="0" applyNumberFormat="1" applyFont="1" applyFill="1" applyBorder="1"/>
    <xf numFmtId="0" fontId="63" fillId="22" borderId="70" xfId="0" applyFont="1" applyFill="1" applyBorder="1"/>
    <xf numFmtId="171" fontId="63" fillId="22" borderId="70" xfId="1" applyNumberFormat="1" applyFont="1" applyFill="1" applyBorder="1"/>
    <xf numFmtId="172" fontId="63" fillId="22" borderId="1" xfId="0" applyNumberFormat="1" applyFont="1" applyFill="1" applyBorder="1"/>
    <xf numFmtId="171" fontId="63" fillId="22" borderId="145" xfId="1" applyNumberFormat="1" applyFont="1" applyFill="1" applyBorder="1"/>
    <xf numFmtId="172" fontId="63" fillId="22" borderId="103" xfId="0" applyNumberFormat="1" applyFont="1" applyFill="1" applyBorder="1"/>
    <xf numFmtId="0" fontId="59" fillId="22" borderId="70" xfId="0" applyFont="1" applyFill="1" applyBorder="1"/>
    <xf numFmtId="0" fontId="75" fillId="23" borderId="147" xfId="0" applyFont="1" applyFill="1" applyBorder="1"/>
    <xf numFmtId="171" fontId="75" fillId="23" borderId="147" xfId="0" applyNumberFormat="1" applyFont="1" applyFill="1" applyBorder="1"/>
    <xf numFmtId="0" fontId="75" fillId="23" borderId="123" xfId="0" applyFont="1" applyFill="1" applyBorder="1"/>
    <xf numFmtId="37" fontId="75" fillId="23" borderId="148" xfId="0" applyNumberFormat="1" applyFont="1" applyFill="1" applyBorder="1"/>
    <xf numFmtId="37" fontId="63" fillId="22" borderId="55" xfId="0" applyNumberFormat="1" applyFont="1" applyFill="1" applyBorder="1" applyProtection="1">
      <protection locked="0"/>
    </xf>
    <xf numFmtId="0" fontId="63" fillId="24" borderId="70" xfId="0" applyFont="1" applyFill="1" applyBorder="1"/>
    <xf numFmtId="172" fontId="75" fillId="23" borderId="123" xfId="0" applyNumberFormat="1" applyFont="1" applyFill="1" applyBorder="1"/>
    <xf numFmtId="0" fontId="63" fillId="22" borderId="149" xfId="0" applyFont="1" applyFill="1" applyBorder="1"/>
    <xf numFmtId="172" fontId="63" fillId="22" borderId="112" xfId="0" applyNumberFormat="1" applyFont="1" applyFill="1" applyBorder="1"/>
    <xf numFmtId="37" fontId="63" fillId="22" borderId="150" xfId="0" applyNumberFormat="1" applyFont="1" applyFill="1" applyBorder="1"/>
    <xf numFmtId="37" fontId="63" fillId="22" borderId="146" xfId="0" applyNumberFormat="1" applyFont="1" applyFill="1" applyBorder="1" applyProtection="1">
      <protection locked="0"/>
    </xf>
    <xf numFmtId="171" fontId="75" fillId="22" borderId="149" xfId="0" applyNumberFormat="1" applyFont="1" applyFill="1" applyBorder="1"/>
    <xf numFmtId="0" fontId="75" fillId="22" borderId="112" xfId="0" applyFont="1" applyFill="1" applyBorder="1"/>
    <xf numFmtId="37" fontId="63" fillId="24" borderId="150" xfId="0" applyNumberFormat="1" applyFont="1" applyFill="1" applyBorder="1"/>
    <xf numFmtId="171" fontId="75" fillId="22" borderId="70" xfId="0" applyNumberFormat="1" applyFont="1" applyFill="1" applyBorder="1"/>
    <xf numFmtId="171" fontId="75" fillId="22" borderId="145" xfId="0" applyNumberFormat="1" applyFont="1" applyFill="1" applyBorder="1"/>
    <xf numFmtId="0" fontId="63" fillId="23" borderId="123" xfId="0" applyFont="1" applyFill="1" applyBorder="1"/>
    <xf numFmtId="0" fontId="75" fillId="24" borderId="149" xfId="0" applyFont="1" applyFill="1" applyBorder="1"/>
    <xf numFmtId="0" fontId="75" fillId="23" borderId="151" xfId="0" applyFont="1" applyFill="1" applyBorder="1"/>
    <xf numFmtId="0" fontId="75" fillId="23" borderId="151" xfId="0" applyFont="1" applyFill="1" applyBorder="1" applyAlignment="1">
      <alignment horizontal="center"/>
    </xf>
    <xf numFmtId="171" fontId="75" fillId="23" borderId="152" xfId="0" applyNumberFormat="1" applyFont="1" applyFill="1" applyBorder="1"/>
    <xf numFmtId="37" fontId="75" fillId="23" borderId="153" xfId="0" applyNumberFormat="1" applyFont="1" applyFill="1" applyBorder="1"/>
    <xf numFmtId="0" fontId="75" fillId="23" borderId="154" xfId="0" applyFont="1" applyFill="1" applyBorder="1" applyAlignment="1">
      <alignment horizontal="center"/>
    </xf>
    <xf numFmtId="171" fontId="75" fillId="23" borderId="142" xfId="0" applyNumberFormat="1" applyFont="1" applyFill="1" applyBorder="1"/>
    <xf numFmtId="37" fontId="75" fillId="23" borderId="155" xfId="0" applyNumberFormat="1" applyFont="1" applyFill="1" applyBorder="1"/>
    <xf numFmtId="39" fontId="63" fillId="22" borderId="0" xfId="0" applyNumberFormat="1" applyFont="1" applyFill="1"/>
    <xf numFmtId="0" fontId="75" fillId="23" borderId="156" xfId="0" applyFont="1" applyFill="1" applyBorder="1"/>
    <xf numFmtId="0" fontId="75" fillId="23" borderId="158" xfId="0" applyFont="1" applyFill="1" applyBorder="1" applyAlignment="1">
      <alignment horizontal="center"/>
    </xf>
    <xf numFmtId="171" fontId="75" fillId="23" borderId="157" xfId="0" applyNumberFormat="1" applyFont="1" applyFill="1" applyBorder="1"/>
    <xf numFmtId="37" fontId="75" fillId="23" borderId="159" xfId="0" applyNumberFormat="1" applyFont="1" applyFill="1" applyBorder="1"/>
    <xf numFmtId="0" fontId="74" fillId="22" borderId="160" xfId="0" applyFont="1" applyFill="1" applyBorder="1"/>
    <xf numFmtId="0" fontId="74" fillId="22" borderId="70" xfId="0" applyFont="1" applyFill="1" applyBorder="1"/>
    <xf numFmtId="0" fontId="74" fillId="22" borderId="55" xfId="0" applyFont="1" applyFill="1" applyBorder="1"/>
    <xf numFmtId="0" fontId="63" fillId="22" borderId="160" xfId="0" applyFont="1" applyFill="1" applyBorder="1"/>
    <xf numFmtId="0" fontId="70" fillId="22" borderId="70" xfId="0" applyFont="1" applyFill="1" applyBorder="1"/>
    <xf numFmtId="0" fontId="59" fillId="22" borderId="1" xfId="0" applyFont="1" applyFill="1" applyBorder="1"/>
    <xf numFmtId="0" fontId="60" fillId="22" borderId="70" xfId="0" applyFont="1" applyFill="1" applyBorder="1"/>
    <xf numFmtId="0" fontId="59" fillId="22" borderId="160" xfId="0" applyFont="1" applyFill="1" applyBorder="1"/>
    <xf numFmtId="0" fontId="59" fillId="22" borderId="162" xfId="0" applyFont="1" applyFill="1" applyBorder="1"/>
    <xf numFmtId="0" fontId="75" fillId="23" borderId="163" xfId="0" applyFont="1" applyFill="1" applyBorder="1"/>
    <xf numFmtId="0" fontId="75" fillId="23" borderId="165" xfId="0" applyFont="1" applyFill="1" applyBorder="1" applyAlignment="1">
      <alignment horizontal="center"/>
    </xf>
    <xf numFmtId="171" fontId="75" fillId="23" borderId="164" xfId="0" applyNumberFormat="1" applyFont="1" applyFill="1" applyBorder="1"/>
    <xf numFmtId="37" fontId="75" fillId="23" borderId="166" xfId="0" applyNumberFormat="1" applyFont="1" applyFill="1" applyBorder="1"/>
    <xf numFmtId="169" fontId="75" fillId="23" borderId="123" xfId="5" applyNumberFormat="1" applyFont="1" applyFill="1" applyBorder="1"/>
    <xf numFmtId="0" fontId="75" fillId="23" borderId="157" xfId="0" applyFont="1" applyFill="1" applyBorder="1" applyAlignment="1">
      <alignment horizontal="center"/>
    </xf>
    <xf numFmtId="37" fontId="75" fillId="23" borderId="157" xfId="0" applyNumberFormat="1" applyFont="1" applyFill="1" applyBorder="1"/>
    <xf numFmtId="0" fontId="75" fillId="23" borderId="164" xfId="0" applyFont="1" applyFill="1" applyBorder="1" applyAlignment="1">
      <alignment horizontal="center"/>
    </xf>
    <xf numFmtId="37" fontId="75" fillId="23" borderId="164" xfId="0" applyNumberFormat="1" applyFont="1" applyFill="1" applyBorder="1"/>
    <xf numFmtId="49" fontId="20" fillId="13" borderId="1" xfId="6" applyNumberFormat="1" applyFill="1" applyAlignment="1">
      <alignment horizontal="left" vertical="center"/>
    </xf>
    <xf numFmtId="176" fontId="20" fillId="13" borderId="1" xfId="6" applyNumberFormat="1" applyFill="1" applyAlignment="1">
      <alignment horizontal="right" vertical="center"/>
    </xf>
    <xf numFmtId="0" fontId="20" fillId="13" borderId="1" xfId="6" applyFill="1"/>
    <xf numFmtId="49" fontId="56" fillId="10" borderId="47" xfId="0" applyNumberFormat="1" applyFont="1" applyFill="1" applyBorder="1" applyAlignment="1">
      <alignment horizontal="left" vertical="top"/>
    </xf>
    <xf numFmtId="49" fontId="56" fillId="10" borderId="44" xfId="0" applyNumberFormat="1" applyFont="1" applyFill="1" applyBorder="1" applyAlignment="1">
      <alignment horizontal="left" vertical="top"/>
    </xf>
    <xf numFmtId="1" fontId="56" fillId="14" borderId="47" xfId="0" applyNumberFormat="1" applyFont="1" applyFill="1" applyBorder="1" applyAlignment="1">
      <alignment horizontal="left" vertical="top"/>
    </xf>
    <xf numFmtId="49" fontId="56" fillId="10" borderId="1" xfId="0" applyNumberFormat="1" applyFont="1" applyFill="1" applyBorder="1" applyAlignment="1">
      <alignment horizontal="left" vertical="top"/>
    </xf>
    <xf numFmtId="0" fontId="56" fillId="10" borderId="45" xfId="0" applyFont="1" applyFill="1" applyBorder="1" applyAlignment="1">
      <alignment horizontal="left" vertical="top"/>
    </xf>
    <xf numFmtId="0" fontId="55" fillId="10" borderId="0" xfId="0" applyFont="1" applyFill="1" applyAlignment="1">
      <alignment horizontal="left" vertical="top"/>
    </xf>
    <xf numFmtId="0" fontId="53" fillId="25" borderId="0" xfId="0" applyFont="1" applyFill="1" applyAlignment="1">
      <alignment horizontal="left" vertical="top"/>
    </xf>
    <xf numFmtId="0" fontId="55" fillId="10" borderId="44" xfId="0" applyFont="1" applyFill="1" applyBorder="1" applyAlignment="1">
      <alignment horizontal="left" vertical="top"/>
    </xf>
    <xf numFmtId="0" fontId="55" fillId="10" borderId="1" xfId="0" applyFont="1" applyFill="1" applyBorder="1" applyAlignment="1">
      <alignment horizontal="left" vertical="top"/>
    </xf>
    <xf numFmtId="0" fontId="55" fillId="10" borderId="48" xfId="0" applyFont="1" applyFill="1" applyBorder="1" applyAlignment="1">
      <alignment horizontal="left" vertical="top"/>
    </xf>
    <xf numFmtId="0" fontId="55" fillId="10" borderId="46" xfId="0" applyFont="1" applyFill="1" applyBorder="1" applyAlignment="1">
      <alignment horizontal="left" vertical="top"/>
    </xf>
    <xf numFmtId="39" fontId="55" fillId="10" borderId="46" xfId="0" applyNumberFormat="1" applyFont="1" applyFill="1" applyBorder="1" applyAlignment="1">
      <alignment horizontal="left" vertical="top"/>
    </xf>
    <xf numFmtId="0" fontId="56" fillId="10" borderId="44" xfId="0" applyFont="1" applyFill="1" applyBorder="1" applyAlignment="1">
      <alignment horizontal="left" vertical="top"/>
    </xf>
    <xf numFmtId="0" fontId="57" fillId="10" borderId="47" xfId="0" applyFont="1" applyFill="1" applyBorder="1" applyAlignment="1">
      <alignment horizontal="left" vertical="top"/>
    </xf>
    <xf numFmtId="0" fontId="56" fillId="10" borderId="0" xfId="0" applyFont="1" applyFill="1" applyAlignment="1">
      <alignment horizontal="left" vertical="top"/>
    </xf>
    <xf numFmtId="0" fontId="23" fillId="0" borderId="0" xfId="0" applyFont="1" applyFill="1"/>
    <xf numFmtId="0" fontId="23" fillId="0" borderId="0" xfId="0" applyFont="1" applyFill="1" applyAlignment="1">
      <alignment horizontal="center"/>
    </xf>
    <xf numFmtId="167" fontId="24" fillId="0" borderId="1" xfId="0" applyNumberFormat="1" applyFont="1" applyFill="1" applyBorder="1" applyAlignment="1">
      <alignment horizontal="center"/>
    </xf>
    <xf numFmtId="0" fontId="0" fillId="0" borderId="0" xfId="0"/>
    <xf numFmtId="49" fontId="24" fillId="13" borderId="1" xfId="0" applyNumberFormat="1" applyFont="1" applyFill="1" applyBorder="1" applyAlignment="1">
      <alignment horizontal="left" vertical="center"/>
    </xf>
    <xf numFmtId="0" fontId="24" fillId="13" borderId="1" xfId="0" applyFont="1" applyFill="1" applyBorder="1" applyAlignment="1">
      <alignment horizontal="left" vertical="top"/>
    </xf>
    <xf numFmtId="0" fontId="24" fillId="13" borderId="1" xfId="0" applyFont="1" applyFill="1" applyBorder="1"/>
    <xf numFmtId="174" fontId="24" fillId="13" borderId="1" xfId="0" applyNumberFormat="1" applyFont="1" applyFill="1" applyBorder="1" applyAlignment="1">
      <alignment horizontal="right" vertical="center"/>
    </xf>
    <xf numFmtId="171" fontId="34" fillId="0" borderId="12" xfId="1" applyNumberFormat="1" applyFont="1" applyBorder="1"/>
    <xf numFmtId="171" fontId="34" fillId="0" borderId="13" xfId="1" applyNumberFormat="1" applyFont="1" applyBorder="1"/>
    <xf numFmtId="3" fontId="33" fillId="0" borderId="0" xfId="0" applyNumberFormat="1" applyFont="1" applyFill="1"/>
    <xf numFmtId="3" fontId="34" fillId="0" borderId="0" xfId="0" applyNumberFormat="1" applyFont="1" applyFill="1"/>
    <xf numFmtId="169" fontId="34" fillId="0" borderId="15" xfId="5" applyNumberFormat="1" applyFont="1" applyBorder="1"/>
    <xf numFmtId="164" fontId="34" fillId="0" borderId="0" xfId="0" applyNumberFormat="1" applyFont="1" applyFill="1"/>
    <xf numFmtId="10" fontId="0" fillId="0" borderId="0" xfId="0" applyNumberFormat="1"/>
    <xf numFmtId="0" fontId="90" fillId="0" borderId="0" xfId="0" applyFont="1"/>
    <xf numFmtId="10" fontId="90" fillId="0" borderId="0" xfId="0" applyNumberFormat="1" applyFont="1"/>
    <xf numFmtId="3" fontId="59" fillId="0" borderId="15" xfId="0" applyNumberFormat="1" applyFont="1" applyFill="1" applyBorder="1"/>
    <xf numFmtId="171" fontId="35" fillId="0" borderId="1" xfId="0" applyNumberFormat="1" applyFont="1" applyFill="1" applyBorder="1"/>
    <xf numFmtId="0" fontId="35" fillId="0" borderId="88" xfId="0" applyFont="1" applyBorder="1" applyAlignment="1">
      <alignment horizontal="center" vertical="center"/>
    </xf>
    <xf numFmtId="0" fontId="86" fillId="27" borderId="170" xfId="3" applyFont="1" applyFill="1" applyBorder="1" applyAlignment="1">
      <alignment horizontal="center"/>
    </xf>
    <xf numFmtId="0" fontId="86" fillId="27" borderId="177" xfId="3" applyFont="1" applyFill="1" applyBorder="1" applyAlignment="1">
      <alignment horizontal="center"/>
    </xf>
    <xf numFmtId="0" fontId="86" fillId="27" borderId="127" xfId="3" applyFont="1" applyFill="1" applyBorder="1" applyAlignment="1">
      <alignment horizontal="center"/>
    </xf>
    <xf numFmtId="0" fontId="86" fillId="27" borderId="178" xfId="3" applyFont="1" applyFill="1" applyBorder="1" applyAlignment="1">
      <alignment horizontal="center"/>
    </xf>
    <xf numFmtId="0" fontId="86" fillId="27" borderId="171" xfId="3" applyFont="1" applyFill="1" applyBorder="1" applyAlignment="1">
      <alignment horizontal="center"/>
    </xf>
    <xf numFmtId="0" fontId="21" fillId="0" borderId="172" xfId="3" applyBorder="1" applyAlignment="1">
      <alignment horizontal="left"/>
    </xf>
    <xf numFmtId="167" fontId="21" fillId="0" borderId="200" xfId="3" applyNumberFormat="1" applyBorder="1" applyAlignment="1">
      <alignment horizontal="center"/>
    </xf>
    <xf numFmtId="167" fontId="21" fillId="0" borderId="184" xfId="3" applyNumberFormat="1" applyBorder="1" applyAlignment="1">
      <alignment horizontal="center"/>
    </xf>
    <xf numFmtId="167" fontId="21" fillId="0" borderId="201" xfId="3" applyNumberFormat="1" applyBorder="1" applyAlignment="1">
      <alignment horizontal="center"/>
    </xf>
    <xf numFmtId="2" fontId="21" fillId="0" borderId="161" xfId="3" applyNumberFormat="1" applyBorder="1" applyAlignment="1">
      <alignment horizontal="center"/>
    </xf>
    <xf numFmtId="2" fontId="21" fillId="0" borderId="181" xfId="3" applyNumberFormat="1" applyBorder="1" applyAlignment="1">
      <alignment horizontal="center"/>
    </xf>
    <xf numFmtId="2" fontId="21" fillId="0" borderId="173" xfId="3" applyNumberFormat="1" applyBorder="1" applyAlignment="1">
      <alignment horizontal="center"/>
    </xf>
    <xf numFmtId="167" fontId="21" fillId="0" borderId="161" xfId="3" applyNumberFormat="1" applyBorder="1" applyAlignment="1">
      <alignment horizontal="center"/>
    </xf>
    <xf numFmtId="167" fontId="21" fillId="0" borderId="181" xfId="3" applyNumberFormat="1" applyBorder="1" applyAlignment="1">
      <alignment horizontal="center"/>
    </xf>
    <xf numFmtId="167" fontId="21" fillId="0" borderId="173" xfId="3" applyNumberFormat="1" applyBorder="1" applyAlignment="1">
      <alignment horizontal="center"/>
    </xf>
    <xf numFmtId="0" fontId="21" fillId="0" borderId="174" xfId="3" applyBorder="1" applyAlignment="1">
      <alignment horizontal="left"/>
    </xf>
    <xf numFmtId="2" fontId="21" fillId="0" borderId="175" xfId="3" applyNumberFormat="1" applyBorder="1" applyAlignment="1">
      <alignment horizontal="center"/>
    </xf>
    <xf numFmtId="2" fontId="21" fillId="0" borderId="187" xfId="3" applyNumberFormat="1" applyBorder="1" applyAlignment="1">
      <alignment horizontal="center"/>
    </xf>
    <xf numFmtId="2" fontId="21" fillId="0" borderId="176" xfId="3" applyNumberFormat="1" applyBorder="1" applyAlignment="1">
      <alignment horizontal="center"/>
    </xf>
    <xf numFmtId="0" fontId="86" fillId="0" borderId="1" xfId="3" applyFont="1"/>
    <xf numFmtId="0" fontId="24" fillId="10" borderId="0" xfId="0" applyFont="1" applyFill="1" applyAlignment="1">
      <alignment horizontal="center"/>
    </xf>
    <xf numFmtId="0" fontId="24" fillId="10" borderId="0" xfId="0" applyFont="1" applyFill="1"/>
    <xf numFmtId="0" fontId="24" fillId="10" borderId="0" xfId="0" applyNumberFormat="1" applyFont="1" applyFill="1" applyAlignment="1">
      <alignment horizontal="center"/>
    </xf>
    <xf numFmtId="0" fontId="58" fillId="10" borderId="0" xfId="0" applyFont="1" applyFill="1" applyAlignment="1">
      <alignment horizontal="center"/>
    </xf>
    <xf numFmtId="0" fontId="58" fillId="25" borderId="0" xfId="0" applyFont="1" applyFill="1" applyAlignment="1">
      <alignment horizontal="center"/>
    </xf>
    <xf numFmtId="0" fontId="18" fillId="13" borderId="1" xfId="8" applyFill="1"/>
    <xf numFmtId="176" fontId="18" fillId="13" borderId="1" xfId="8" applyNumberFormat="1" applyFill="1" applyAlignment="1">
      <alignment horizontal="right" vertical="center"/>
    </xf>
    <xf numFmtId="49" fontId="24" fillId="5" borderId="47" xfId="0" applyNumberFormat="1" applyFont="1" applyFill="1" applyBorder="1" applyAlignment="1">
      <alignment horizontal="left" vertical="center"/>
    </xf>
    <xf numFmtId="1" fontId="56" fillId="10" borderId="1" xfId="0" applyNumberFormat="1" applyFont="1" applyFill="1" applyBorder="1" applyAlignment="1">
      <alignment horizontal="left" vertical="top"/>
    </xf>
    <xf numFmtId="49" fontId="55" fillId="10" borderId="1" xfId="0" applyNumberFormat="1" applyFont="1" applyFill="1" applyBorder="1" applyAlignment="1">
      <alignment horizontal="left" vertical="top"/>
    </xf>
    <xf numFmtId="0" fontId="55" fillId="10" borderId="202" xfId="0" applyFont="1" applyFill="1" applyBorder="1" applyAlignment="1">
      <alignment horizontal="left" vertical="top"/>
    </xf>
    <xf numFmtId="0" fontId="55" fillId="10" borderId="43" xfId="0" applyFont="1" applyFill="1" applyBorder="1" applyAlignment="1">
      <alignment horizontal="left" vertical="top"/>
    </xf>
    <xf numFmtId="1" fontId="56" fillId="10" borderId="202" xfId="0" applyNumberFormat="1" applyFont="1" applyFill="1" applyBorder="1" applyAlignment="1">
      <alignment horizontal="left" vertical="top"/>
    </xf>
    <xf numFmtId="49" fontId="55" fillId="10" borderId="203" xfId="0" applyNumberFormat="1" applyFont="1" applyFill="1" applyBorder="1" applyAlignment="1">
      <alignment horizontal="left" vertical="top"/>
    </xf>
    <xf numFmtId="0" fontId="55" fillId="10" borderId="203" xfId="0" applyFont="1" applyFill="1" applyBorder="1" applyAlignment="1">
      <alignment horizontal="left" vertical="top"/>
    </xf>
    <xf numFmtId="49" fontId="55" fillId="10" borderId="202" xfId="0" applyNumberFormat="1" applyFont="1" applyFill="1" applyBorder="1" applyAlignment="1">
      <alignment horizontal="left" vertical="top"/>
    </xf>
    <xf numFmtId="49" fontId="55" fillId="10" borderId="204" xfId="0" applyNumberFormat="1" applyFont="1" applyFill="1" applyBorder="1" applyAlignment="1">
      <alignment horizontal="left" vertical="top"/>
    </xf>
    <xf numFmtId="0" fontId="56" fillId="10" borderId="202" xfId="0" applyFont="1" applyFill="1" applyBorder="1" applyAlignment="1">
      <alignment horizontal="left" vertical="top"/>
    </xf>
    <xf numFmtId="39" fontId="55" fillId="10" borderId="204" xfId="0" applyNumberFormat="1" applyFont="1" applyFill="1" applyBorder="1" applyAlignment="1">
      <alignment horizontal="left" vertical="top"/>
    </xf>
    <xf numFmtId="39" fontId="55" fillId="10" borderId="202" xfId="0" applyNumberFormat="1" applyFont="1" applyFill="1" applyBorder="1" applyAlignment="1">
      <alignment horizontal="left" vertical="top"/>
    </xf>
    <xf numFmtId="0" fontId="55" fillId="10" borderId="204" xfId="0" applyFont="1" applyFill="1" applyBorder="1" applyAlignment="1">
      <alignment horizontal="left" vertical="top"/>
    </xf>
    <xf numFmtId="0" fontId="57" fillId="8" borderId="47" xfId="0" applyFont="1" applyFill="1" applyBorder="1" applyAlignment="1">
      <alignment horizontal="left" vertical="top"/>
    </xf>
    <xf numFmtId="37" fontId="91" fillId="0" borderId="0" xfId="0" applyNumberFormat="1" applyFont="1"/>
    <xf numFmtId="37" fontId="37" fillId="0" borderId="32" xfId="0" applyNumberFormat="1" applyFont="1" applyFill="1" applyBorder="1"/>
    <xf numFmtId="0" fontId="60" fillId="22" borderId="104" xfId="0" applyFont="1" applyFill="1" applyBorder="1"/>
    <xf numFmtId="0" fontId="60" fillId="22" borderId="105" xfId="0" applyFont="1" applyFill="1" applyBorder="1"/>
    <xf numFmtId="0" fontId="60" fillId="22" borderId="106" xfId="0" applyFont="1" applyFill="1" applyBorder="1"/>
    <xf numFmtId="3" fontId="34" fillId="0" borderId="12" xfId="0" applyNumberFormat="1" applyFont="1" applyFill="1" applyBorder="1"/>
    <xf numFmtId="167" fontId="17" fillId="0" borderId="180" xfId="3" applyNumberFormat="1" applyFont="1" applyBorder="1" applyAlignment="1">
      <alignment horizontal="center"/>
    </xf>
    <xf numFmtId="167" fontId="17" fillId="0" borderId="161" xfId="3" applyNumberFormat="1" applyFont="1" applyBorder="1" applyAlignment="1">
      <alignment horizontal="center"/>
    </xf>
    <xf numFmtId="167" fontId="17" fillId="0" borderId="181" xfId="3" applyNumberFormat="1" applyFont="1" applyBorder="1" applyAlignment="1">
      <alignment horizontal="center"/>
    </xf>
    <xf numFmtId="167" fontId="17" fillId="0" borderId="173" xfId="3" applyNumberFormat="1" applyFont="1" applyBorder="1" applyAlignment="1">
      <alignment horizontal="center"/>
    </xf>
    <xf numFmtId="9" fontId="17" fillId="0" borderId="180" xfId="4" applyFont="1" applyBorder="1" applyAlignment="1">
      <alignment horizontal="center"/>
    </xf>
    <xf numFmtId="9" fontId="17" fillId="0" borderId="181" xfId="4" applyFont="1" applyBorder="1" applyAlignment="1">
      <alignment horizontal="center"/>
    </xf>
    <xf numFmtId="9" fontId="17" fillId="0" borderId="182" xfId="4" applyFont="1" applyBorder="1" applyAlignment="1">
      <alignment horizontal="center"/>
    </xf>
    <xf numFmtId="9" fontId="17" fillId="0" borderId="180" xfId="4" applyFont="1" applyFill="1" applyBorder="1" applyAlignment="1">
      <alignment horizontal="center"/>
    </xf>
    <xf numFmtId="2" fontId="17" fillId="0" borderId="161" xfId="4" applyNumberFormat="1" applyFont="1" applyBorder="1" applyAlignment="1">
      <alignment horizontal="center"/>
    </xf>
    <xf numFmtId="2" fontId="17" fillId="0" borderId="181" xfId="4" applyNumberFormat="1" applyFont="1" applyBorder="1" applyAlignment="1">
      <alignment horizontal="center"/>
    </xf>
    <xf numFmtId="2" fontId="17" fillId="0" borderId="173" xfId="4" applyNumberFormat="1" applyFont="1" applyBorder="1" applyAlignment="1">
      <alignment horizontal="center"/>
    </xf>
    <xf numFmtId="9" fontId="17" fillId="0" borderId="161" xfId="4" applyFont="1" applyBorder="1" applyAlignment="1">
      <alignment horizontal="center"/>
    </xf>
    <xf numFmtId="9" fontId="17" fillId="0" borderId="173" xfId="4" applyFont="1" applyBorder="1" applyAlignment="1">
      <alignment horizontal="center"/>
    </xf>
    <xf numFmtId="0" fontId="17" fillId="0" borderId="190" xfId="3" applyFont="1" applyBorder="1"/>
    <xf numFmtId="167" fontId="17" fillId="0" borderId="193" xfId="3" applyNumberFormat="1" applyFont="1" applyBorder="1" applyAlignment="1">
      <alignment horizontal="center"/>
    </xf>
    <xf numFmtId="167" fontId="17" fillId="0" borderId="191" xfId="3" applyNumberFormat="1" applyFont="1" applyBorder="1" applyAlignment="1">
      <alignment horizontal="center"/>
    </xf>
    <xf numFmtId="167" fontId="17" fillId="0" borderId="194" xfId="3" applyNumberFormat="1" applyFont="1" applyBorder="1" applyAlignment="1">
      <alignment horizontal="center"/>
    </xf>
    <xf numFmtId="9" fontId="17" fillId="0" borderId="190" xfId="4" applyFont="1" applyBorder="1" applyAlignment="1">
      <alignment horizontal="center"/>
    </xf>
    <xf numFmtId="9" fontId="17" fillId="0" borderId="191" xfId="4" applyFont="1" applyBorder="1" applyAlignment="1">
      <alignment horizontal="center"/>
    </xf>
    <xf numFmtId="9" fontId="17" fillId="0" borderId="192" xfId="4" applyFont="1" applyBorder="1" applyAlignment="1">
      <alignment horizontal="center"/>
    </xf>
    <xf numFmtId="167" fontId="17" fillId="0" borderId="175" xfId="3" applyNumberFormat="1" applyFont="1" applyBorder="1" applyAlignment="1">
      <alignment horizontal="center"/>
    </xf>
    <xf numFmtId="167" fontId="17" fillId="0" borderId="187" xfId="3" applyNumberFormat="1" applyFont="1" applyBorder="1" applyAlignment="1">
      <alignment horizontal="center"/>
    </xf>
    <xf numFmtId="167" fontId="17" fillId="0" borderId="176" xfId="3" applyNumberFormat="1" applyFont="1" applyBorder="1" applyAlignment="1">
      <alignment horizontal="center"/>
    </xf>
    <xf numFmtId="9" fontId="17" fillId="0" borderId="186" xfId="4" applyFont="1" applyBorder="1" applyAlignment="1">
      <alignment horizontal="center"/>
    </xf>
    <xf numFmtId="9" fontId="17" fillId="0" borderId="187" xfId="4" applyFont="1" applyBorder="1" applyAlignment="1">
      <alignment horizontal="center"/>
    </xf>
    <xf numFmtId="9" fontId="17" fillId="0" borderId="188" xfId="4" applyFont="1" applyBorder="1" applyAlignment="1">
      <alignment horizontal="center"/>
    </xf>
    <xf numFmtId="0" fontId="17" fillId="0" borderId="1" xfId="3" applyFont="1"/>
    <xf numFmtId="167" fontId="17" fillId="0" borderId="180" xfId="4" applyNumberFormat="1" applyFont="1" applyFill="1" applyBorder="1" applyAlignment="1">
      <alignment horizontal="center"/>
    </xf>
    <xf numFmtId="9" fontId="17" fillId="0" borderId="180" xfId="1" applyFont="1" applyBorder="1" applyAlignment="1">
      <alignment horizontal="center"/>
    </xf>
    <xf numFmtId="2" fontId="17" fillId="0" borderId="161" xfId="3" applyNumberFormat="1" applyFont="1" applyBorder="1" applyAlignment="1">
      <alignment horizontal="center"/>
    </xf>
    <xf numFmtId="2" fontId="17" fillId="0" borderId="181" xfId="3" applyNumberFormat="1" applyFont="1" applyBorder="1" applyAlignment="1">
      <alignment horizontal="center"/>
    </xf>
    <xf numFmtId="2" fontId="17" fillId="0" borderId="173" xfId="3" applyNumberFormat="1" applyFont="1" applyBorder="1" applyAlignment="1">
      <alignment horizontal="center"/>
    </xf>
    <xf numFmtId="167" fontId="17" fillId="0" borderId="186" xfId="3" applyNumberFormat="1" applyFont="1" applyBorder="1" applyAlignment="1">
      <alignment horizontal="center"/>
    </xf>
    <xf numFmtId="0" fontId="17" fillId="0" borderId="172" xfId="3" applyFont="1" applyBorder="1" applyAlignment="1">
      <alignment horizontal="left" indent="1"/>
    </xf>
    <xf numFmtId="0" fontId="17" fillId="0" borderId="172" xfId="3" applyFont="1" applyBorder="1" applyAlignment="1">
      <alignment horizontal="left"/>
    </xf>
    <xf numFmtId="1" fontId="17" fillId="0" borderId="161" xfId="3" applyNumberFormat="1" applyFont="1" applyBorder="1" applyAlignment="1">
      <alignment horizontal="center"/>
    </xf>
    <xf numFmtId="1" fontId="17" fillId="0" borderId="181" xfId="3" applyNumberFormat="1" applyFont="1" applyBorder="1" applyAlignment="1">
      <alignment horizontal="center"/>
    </xf>
    <xf numFmtId="1" fontId="17" fillId="0" borderId="173" xfId="3" applyNumberFormat="1" applyFont="1" applyBorder="1" applyAlignment="1">
      <alignment horizontal="center"/>
    </xf>
    <xf numFmtId="0" fontId="17" fillId="0" borderId="174" xfId="3" applyFont="1" applyBorder="1" applyAlignment="1">
      <alignment horizontal="left"/>
    </xf>
    <xf numFmtId="167" fontId="17" fillId="0" borderId="180" xfId="1" applyNumberFormat="1" applyFont="1" applyBorder="1" applyAlignment="1">
      <alignment horizontal="center"/>
    </xf>
    <xf numFmtId="171" fontId="17" fillId="0" borderId="180" xfId="1" applyNumberFormat="1" applyFont="1" applyBorder="1" applyAlignment="1">
      <alignment horizontal="center"/>
    </xf>
    <xf numFmtId="171" fontId="17" fillId="0" borderId="186" xfId="1" applyNumberFormat="1" applyFont="1" applyBorder="1" applyAlignment="1">
      <alignment horizontal="center"/>
    </xf>
    <xf numFmtId="3" fontId="33" fillId="0" borderId="0" xfId="0" applyNumberFormat="1" applyFont="1"/>
    <xf numFmtId="166" fontId="33" fillId="0" borderId="0" xfId="5" applyFont="1" applyFill="1"/>
    <xf numFmtId="0" fontId="23" fillId="29" borderId="208" xfId="0" applyFont="1" applyFill="1" applyBorder="1" applyAlignment="1">
      <alignment horizontal="center"/>
    </xf>
    <xf numFmtId="0" fontId="23" fillId="30" borderId="208" xfId="0" applyFont="1" applyFill="1" applyBorder="1" applyAlignment="1">
      <alignment horizontal="center"/>
    </xf>
    <xf numFmtId="0" fontId="23" fillId="31" borderId="208" xfId="0" applyFont="1" applyFill="1" applyBorder="1" applyAlignment="1">
      <alignment horizontal="center"/>
    </xf>
    <xf numFmtId="0" fontId="23" fillId="33" borderId="208" xfId="0" applyFont="1" applyFill="1" applyBorder="1" applyAlignment="1">
      <alignment horizontal="center"/>
    </xf>
    <xf numFmtId="39" fontId="35" fillId="0" borderId="0" xfId="0" applyNumberFormat="1" applyFont="1"/>
    <xf numFmtId="171" fontId="35" fillId="0" borderId="9" xfId="0" applyNumberFormat="1" applyFont="1" applyBorder="1"/>
    <xf numFmtId="0" fontId="59" fillId="0" borderId="1" xfId="0" applyFont="1" applyBorder="1"/>
    <xf numFmtId="37" fontId="35" fillId="0" borderId="1" xfId="0" applyNumberFormat="1" applyFont="1" applyBorder="1"/>
    <xf numFmtId="0" fontId="58" fillId="0" borderId="0" xfId="0" applyFont="1"/>
    <xf numFmtId="3" fontId="32" fillId="0" borderId="0" xfId="0" applyNumberFormat="1" applyFont="1"/>
    <xf numFmtId="166" fontId="32" fillId="0" borderId="0" xfId="5" applyFont="1"/>
    <xf numFmtId="2" fontId="0" fillId="0" borderId="0" xfId="0" applyNumberFormat="1"/>
    <xf numFmtId="3" fontId="0" fillId="0" borderId="0" xfId="0" applyNumberFormat="1"/>
    <xf numFmtId="4" fontId="32" fillId="0" borderId="0" xfId="0" applyNumberFormat="1" applyFont="1"/>
    <xf numFmtId="171" fontId="32" fillId="0" borderId="0" xfId="1" applyNumberFormat="1" applyFont="1"/>
    <xf numFmtId="166" fontId="42" fillId="0" borderId="0" xfId="5" applyFont="1"/>
    <xf numFmtId="171" fontId="42"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42" fillId="0" borderId="0" xfId="0" applyNumberFormat="1" applyFont="1"/>
    <xf numFmtId="4" fontId="0" fillId="0" borderId="0" xfId="0" applyNumberFormat="1"/>
    <xf numFmtId="9" fontId="32" fillId="0" borderId="0" xfId="1" applyFont="1"/>
    <xf numFmtId="169" fontId="37" fillId="0" borderId="35" xfId="5" applyNumberFormat="1" applyFont="1" applyFill="1" applyBorder="1"/>
    <xf numFmtId="177" fontId="34" fillId="0" borderId="1" xfId="0" applyNumberFormat="1" applyFont="1" applyBorder="1"/>
    <xf numFmtId="177" fontId="34" fillId="0" borderId="0" xfId="0" applyNumberFormat="1" applyFont="1" applyFill="1"/>
    <xf numFmtId="9" fontId="34" fillId="0" borderId="0" xfId="1" applyNumberFormat="1" applyFont="1" applyFill="1"/>
    <xf numFmtId="167" fontId="24" fillId="0" borderId="0" xfId="0" applyNumberFormat="1" applyFont="1" applyFill="1" applyAlignment="1">
      <alignment horizontal="center" vertical="top"/>
    </xf>
    <xf numFmtId="167" fontId="52" fillId="0" borderId="0" xfId="0" applyNumberFormat="1" applyFont="1" applyFill="1" applyAlignment="1">
      <alignment horizontal="center" vertical="top"/>
    </xf>
    <xf numFmtId="4" fontId="24" fillId="0" borderId="0" xfId="0" applyNumberFormat="1" applyFont="1" applyFill="1" applyAlignment="1">
      <alignment horizontal="center" vertical="top"/>
    </xf>
    <xf numFmtId="167" fontId="66" fillId="0" borderId="0" xfId="0" applyNumberFormat="1" applyFont="1" applyFill="1" applyAlignment="1">
      <alignment horizontal="center" vertical="top"/>
    </xf>
    <xf numFmtId="167" fontId="0" fillId="0" borderId="0" xfId="0" applyNumberFormat="1" applyFont="1" applyFill="1" applyAlignment="1"/>
    <xf numFmtId="37" fontId="37" fillId="0" borderId="24" xfId="0" applyNumberFormat="1" applyFont="1" applyFill="1" applyBorder="1"/>
    <xf numFmtId="171" fontId="34" fillId="0" borderId="13" xfId="1" applyNumberFormat="1" applyFont="1" applyFill="1" applyBorder="1"/>
    <xf numFmtId="4" fontId="20" fillId="13" borderId="1" xfId="6" applyNumberFormat="1" applyFill="1"/>
    <xf numFmtId="167" fontId="17" fillId="0" borderId="1" xfId="3" applyNumberFormat="1" applyFont="1"/>
    <xf numFmtId="0" fontId="68" fillId="0" borderId="1" xfId="2" applyFont="1" applyAlignment="1">
      <alignment horizontal="center"/>
    </xf>
    <xf numFmtId="0" fontId="60" fillId="22" borderId="104" xfId="0" applyFont="1" applyFill="1" applyBorder="1" applyAlignment="1">
      <alignment horizontal="center"/>
    </xf>
    <xf numFmtId="171" fontId="34" fillId="0" borderId="1" xfId="1" applyNumberFormat="1" applyFont="1" applyBorder="1" applyAlignment="1">
      <alignment horizontal="right"/>
    </xf>
    <xf numFmtId="171" fontId="34" fillId="0" borderId="22" xfId="1" applyNumberFormat="1" applyFont="1" applyBorder="1" applyAlignment="1">
      <alignment horizontal="right"/>
    </xf>
    <xf numFmtId="166" fontId="33" fillId="0" borderId="0" xfId="0" applyNumberFormat="1" applyFont="1" applyFill="1"/>
    <xf numFmtId="0" fontId="58" fillId="0" borderId="1" xfId="11"/>
    <xf numFmtId="0" fontId="0" fillId="0" borderId="1" xfId="12" applyFont="1"/>
    <xf numFmtId="0" fontId="92" fillId="0" borderId="1" xfId="12" applyFont="1" applyAlignment="1">
      <alignment horizontal="center"/>
    </xf>
    <xf numFmtId="3" fontId="93" fillId="26" borderId="1" xfId="12" applyNumberFormat="1" applyFill="1" applyAlignment="1">
      <alignment horizontal="center" vertical="center"/>
    </xf>
    <xf numFmtId="3" fontId="0" fillId="26" borderId="1" xfId="12" applyNumberFormat="1" applyFont="1" applyFill="1" applyAlignment="1">
      <alignment horizontal="center"/>
    </xf>
    <xf numFmtId="0" fontId="56" fillId="10" borderId="47" xfId="0" applyNumberFormat="1" applyFont="1" applyFill="1" applyBorder="1" applyAlignment="1">
      <alignment horizontal="left" vertical="top"/>
    </xf>
    <xf numFmtId="39" fontId="45" fillId="0" borderId="0" xfId="0" applyNumberFormat="1" applyFont="1"/>
    <xf numFmtId="37" fontId="74" fillId="0" borderId="1" xfId="2" applyNumberFormat="1" applyFont="1"/>
    <xf numFmtId="0" fontId="12" fillId="0" borderId="1" xfId="3" applyFont="1"/>
    <xf numFmtId="165" fontId="21" fillId="0" borderId="1" xfId="13" applyFont="1" applyBorder="1"/>
    <xf numFmtId="165" fontId="12" fillId="0" borderId="1" xfId="13" applyFont="1" applyBorder="1"/>
    <xf numFmtId="0" fontId="55" fillId="10" borderId="47" xfId="0" applyNumberFormat="1" applyFont="1" applyFill="1" applyBorder="1" applyAlignment="1">
      <alignment horizontal="left" vertical="top"/>
    </xf>
    <xf numFmtId="0" fontId="24" fillId="5" borderId="47" xfId="0" applyNumberFormat="1" applyFont="1" applyFill="1" applyBorder="1" applyAlignment="1">
      <alignment horizontal="left" vertical="center"/>
    </xf>
    <xf numFmtId="0" fontId="56" fillId="10" borderId="47" xfId="0" quotePrefix="1" applyNumberFormat="1" applyFont="1" applyFill="1" applyBorder="1" applyAlignment="1">
      <alignment horizontal="left" vertical="top"/>
    </xf>
    <xf numFmtId="0" fontId="56" fillId="10" borderId="202" xfId="0" applyNumberFormat="1" applyFont="1" applyFill="1" applyBorder="1" applyAlignment="1">
      <alignment horizontal="left" vertical="top"/>
    </xf>
    <xf numFmtId="49" fontId="24" fillId="0" borderId="1" xfId="0" applyNumberFormat="1" applyFont="1" applyFill="1" applyBorder="1" applyAlignment="1">
      <alignment horizontal="left" vertical="center"/>
    </xf>
    <xf numFmtId="0" fontId="24" fillId="0" borderId="1" xfId="0" applyFont="1" applyFill="1" applyBorder="1" applyAlignment="1">
      <alignment horizontal="left" vertical="top"/>
    </xf>
    <xf numFmtId="174" fontId="24" fillId="0" borderId="1" xfId="0" applyNumberFormat="1" applyFont="1" applyFill="1" applyBorder="1" applyAlignment="1">
      <alignment horizontal="right" vertical="center"/>
    </xf>
    <xf numFmtId="176" fontId="20" fillId="0" borderId="1" xfId="6" applyNumberFormat="1" applyFill="1" applyAlignment="1">
      <alignment horizontal="right" vertical="center"/>
    </xf>
    <xf numFmtId="49" fontId="20" fillId="0" borderId="1" xfId="6" applyNumberFormat="1" applyFill="1" applyAlignment="1">
      <alignment horizontal="left" vertical="center"/>
    </xf>
    <xf numFmtId="0" fontId="20" fillId="0" borderId="1" xfId="6" applyNumberFormat="1" applyFill="1" applyAlignment="1">
      <alignment horizontal="left" vertical="center"/>
    </xf>
    <xf numFmtId="49" fontId="24" fillId="0" borderId="1" xfId="0" applyNumberFormat="1" applyFont="1" applyFill="1" applyBorder="1" applyAlignment="1">
      <alignment horizontal="left" vertical="top"/>
    </xf>
    <xf numFmtId="175" fontId="24" fillId="0" borderId="1" xfId="0" applyNumberFormat="1" applyFont="1" applyFill="1" applyBorder="1" applyAlignment="1">
      <alignment horizontal="right" vertical="top"/>
    </xf>
    <xf numFmtId="37" fontId="34" fillId="0" borderId="22" xfId="0" applyNumberFormat="1" applyFont="1" applyFill="1" applyBorder="1"/>
    <xf numFmtId="3" fontId="34" fillId="0" borderId="167" xfId="0" applyNumberFormat="1" applyFont="1" applyFill="1" applyBorder="1"/>
    <xf numFmtId="3" fontId="34" fillId="0" borderId="19" xfId="0" applyNumberFormat="1" applyFont="1" applyFill="1" applyBorder="1"/>
    <xf numFmtId="0" fontId="58" fillId="0" borderId="1" xfId="12" applyFont="1"/>
    <xf numFmtId="171" fontId="59" fillId="22" borderId="1" xfId="0" applyNumberFormat="1" applyFont="1" applyFill="1" applyBorder="1"/>
    <xf numFmtId="171" fontId="59" fillId="22" borderId="0" xfId="1" applyNumberFormat="1" applyFont="1" applyFill="1"/>
    <xf numFmtId="37" fontId="68" fillId="22" borderId="0" xfId="0" applyNumberFormat="1" applyFont="1" applyFill="1"/>
    <xf numFmtId="0" fontId="70" fillId="22" borderId="0" xfId="0" applyFont="1" applyFill="1" applyAlignment="1">
      <alignment horizontal="center"/>
    </xf>
    <xf numFmtId="37" fontId="70" fillId="22" borderId="120" xfId="0" applyNumberFormat="1" applyFont="1" applyFill="1" applyBorder="1" applyAlignment="1">
      <alignment horizontal="center"/>
    </xf>
    <xf numFmtId="0" fontId="63" fillId="22" borderId="0" xfId="0" applyFont="1" applyFill="1"/>
    <xf numFmtId="172" fontId="63" fillId="22" borderId="0" xfId="0" applyNumberFormat="1" applyFont="1" applyFill="1"/>
    <xf numFmtId="171" fontId="63" fillId="22" borderId="103" xfId="1" applyNumberFormat="1" applyFont="1" applyFill="1" applyBorder="1"/>
    <xf numFmtId="171" fontId="63" fillId="22" borderId="0" xfId="1" applyNumberFormat="1" applyFont="1" applyFill="1"/>
    <xf numFmtId="0" fontId="63" fillId="22" borderId="101" xfId="0" applyFont="1" applyFill="1" applyBorder="1"/>
    <xf numFmtId="172" fontId="63" fillId="22" borderId="53" xfId="0" applyNumberFormat="1" applyFont="1" applyFill="1" applyBorder="1"/>
    <xf numFmtId="37" fontId="63" fillId="22" borderId="63" xfId="0" applyNumberFormat="1" applyFont="1" applyFill="1" applyBorder="1"/>
    <xf numFmtId="0" fontId="63" fillId="22" borderId="195" xfId="0" applyFont="1" applyFill="1" applyBorder="1"/>
    <xf numFmtId="172" fontId="63" fillId="22" borderId="54" xfId="0" applyNumberFormat="1" applyFont="1" applyFill="1" applyBorder="1"/>
    <xf numFmtId="0" fontId="95" fillId="22" borderId="70" xfId="0" applyFont="1" applyFill="1" applyBorder="1"/>
    <xf numFmtId="0" fontId="95" fillId="22" borderId="0" xfId="0" applyFont="1" applyFill="1"/>
    <xf numFmtId="37" fontId="95" fillId="22" borderId="55" xfId="0" applyNumberFormat="1" applyFont="1" applyFill="1" applyBorder="1"/>
    <xf numFmtId="0" fontId="75" fillId="22" borderId="0" xfId="0" applyFont="1" applyFill="1"/>
    <xf numFmtId="0" fontId="96" fillId="24" borderId="149" xfId="0" applyFont="1" applyFill="1" applyBorder="1"/>
    <xf numFmtId="0" fontId="95" fillId="24" borderId="112" xfId="0" applyFont="1" applyFill="1" applyBorder="1"/>
    <xf numFmtId="37" fontId="95" fillId="24" borderId="150" xfId="0" applyNumberFormat="1" applyFont="1" applyFill="1" applyBorder="1"/>
    <xf numFmtId="0" fontId="74" fillId="22" borderId="0" xfId="0" applyFont="1" applyFill="1"/>
    <xf numFmtId="37" fontId="63" fillId="22" borderId="0" xfId="0" applyNumberFormat="1" applyFont="1" applyFill="1"/>
    <xf numFmtId="0" fontId="97" fillId="0" borderId="1" xfId="15" applyFont="1"/>
    <xf numFmtId="0" fontId="11" fillId="0" borderId="1" xfId="15"/>
    <xf numFmtId="0" fontId="98" fillId="0" borderId="1" xfId="15" applyFont="1"/>
    <xf numFmtId="0" fontId="99" fillId="0" borderId="1" xfId="15" applyFont="1" applyAlignment="1">
      <alignment horizontal="center"/>
    </xf>
    <xf numFmtId="0" fontId="11" fillId="0" borderId="1" xfId="15" applyAlignment="1">
      <alignment horizontal="center"/>
    </xf>
    <xf numFmtId="0" fontId="86" fillId="0" borderId="1" xfId="15" applyFont="1" applyAlignment="1">
      <alignment horizontal="center"/>
    </xf>
    <xf numFmtId="0" fontId="86" fillId="20" borderId="210" xfId="15" applyFont="1" applyFill="1" applyBorder="1" applyAlignment="1">
      <alignment horizontal="center" vertical="center" wrapText="1"/>
    </xf>
    <xf numFmtId="0" fontId="86" fillId="20" borderId="211" xfId="15" applyFont="1" applyFill="1" applyBorder="1" applyAlignment="1">
      <alignment horizontal="center" vertical="center" wrapText="1"/>
    </xf>
    <xf numFmtId="0" fontId="86" fillId="20" borderId="212" xfId="15" applyFont="1" applyFill="1" applyBorder="1" applyAlignment="1">
      <alignment horizontal="center" vertical="center" wrapText="1"/>
    </xf>
    <xf numFmtId="0" fontId="86" fillId="20" borderId="209" xfId="15" applyFont="1" applyFill="1" applyBorder="1" applyAlignment="1">
      <alignment horizontal="center" vertical="center" wrapText="1"/>
    </xf>
    <xf numFmtId="0" fontId="86" fillId="0" borderId="1" xfId="15" applyFont="1"/>
    <xf numFmtId="167" fontId="87" fillId="11" borderId="214" xfId="15" applyNumberFormat="1" applyFont="1" applyFill="1" applyBorder="1" applyAlignment="1">
      <alignment horizontal="center" vertical="center"/>
    </xf>
    <xf numFmtId="167" fontId="87" fillId="11" borderId="216" xfId="15" applyNumberFormat="1" applyFont="1" applyFill="1" applyBorder="1" applyAlignment="1">
      <alignment horizontal="center" vertical="center"/>
    </xf>
    <xf numFmtId="0" fontId="87" fillId="11" borderId="215" xfId="15" applyFont="1" applyFill="1" applyBorder="1" applyAlignment="1">
      <alignment horizontal="center" vertical="center"/>
    </xf>
    <xf numFmtId="3" fontId="86" fillId="11" borderId="214" xfId="15" applyNumberFormat="1" applyFont="1" applyFill="1" applyBorder="1" applyAlignment="1">
      <alignment horizontal="center" vertical="center"/>
    </xf>
    <xf numFmtId="3" fontId="86" fillId="11" borderId="216" xfId="15" applyNumberFormat="1" applyFont="1" applyFill="1" applyBorder="1" applyAlignment="1">
      <alignment horizontal="center" vertical="center"/>
    </xf>
    <xf numFmtId="0" fontId="11" fillId="11" borderId="217" xfId="15" applyFill="1" applyBorder="1" applyAlignment="1">
      <alignment wrapText="1"/>
    </xf>
    <xf numFmtId="0" fontId="11" fillId="0" borderId="209" xfId="15" applyBorder="1" applyAlignment="1" applyProtection="1">
      <alignment horizontal="center" vertical="center" wrapText="1"/>
      <protection locked="0"/>
    </xf>
    <xf numFmtId="0" fontId="11" fillId="0" borderId="209" xfId="15" applyBorder="1" applyAlignment="1">
      <alignment horizontal="center" vertical="center"/>
    </xf>
    <xf numFmtId="0" fontId="11" fillId="0" borderId="168" xfId="15" applyBorder="1" applyAlignment="1" applyProtection="1">
      <alignment horizontal="center" vertical="center" wrapText="1"/>
      <protection locked="0"/>
    </xf>
    <xf numFmtId="37" fontId="11" fillId="0" borderId="1" xfId="15" applyNumberFormat="1" applyAlignment="1" applyProtection="1">
      <alignment horizontal="center" vertical="center"/>
      <protection locked="0"/>
    </xf>
    <xf numFmtId="37" fontId="11" fillId="0" borderId="218" xfId="15" applyNumberFormat="1" applyBorder="1" applyAlignment="1" applyProtection="1">
      <alignment horizontal="center" vertical="center"/>
      <protection locked="0"/>
    </xf>
    <xf numFmtId="0" fontId="11" fillId="0" borderId="219" xfId="15" applyBorder="1" applyAlignment="1" applyProtection="1">
      <alignment horizontal="center" vertical="center" wrapText="1"/>
      <protection locked="0"/>
    </xf>
    <xf numFmtId="0" fontId="11" fillId="0" borderId="219" xfId="15" applyBorder="1" applyAlignment="1">
      <alignment horizontal="center" vertical="center"/>
    </xf>
    <xf numFmtId="0" fontId="11" fillId="0" borderId="218" xfId="15" applyBorder="1" applyAlignment="1" applyProtection="1">
      <alignment horizontal="center" vertical="center" wrapText="1"/>
      <protection locked="0"/>
    </xf>
    <xf numFmtId="0" fontId="11" fillId="0" borderId="213" xfId="15" applyBorder="1" applyAlignment="1" applyProtection="1">
      <alignment horizontal="center" vertical="center" wrapText="1"/>
      <protection locked="0"/>
    </xf>
    <xf numFmtId="0" fontId="11" fillId="0" borderId="213" xfId="15" applyBorder="1" applyAlignment="1">
      <alignment horizontal="center" vertical="center"/>
    </xf>
    <xf numFmtId="0" fontId="11" fillId="0" borderId="220" xfId="15" applyBorder="1" applyAlignment="1" applyProtection="1">
      <alignment horizontal="center" vertical="center" wrapText="1"/>
      <protection locked="0"/>
    </xf>
    <xf numFmtId="0" fontId="11" fillId="0" borderId="221" xfId="15" applyBorder="1" applyAlignment="1" applyProtection="1">
      <alignment horizontal="center" vertical="center" wrapText="1"/>
      <protection locked="0"/>
    </xf>
    <xf numFmtId="37" fontId="11" fillId="0" borderId="220" xfId="15" applyNumberFormat="1" applyBorder="1" applyAlignment="1" applyProtection="1">
      <alignment horizontal="center" vertical="center"/>
      <protection locked="0"/>
    </xf>
    <xf numFmtId="37" fontId="11" fillId="0" borderId="222" xfId="15" applyNumberFormat="1" applyBorder="1" applyAlignment="1" applyProtection="1">
      <alignment horizontal="center" vertical="center"/>
      <protection locked="0"/>
    </xf>
    <xf numFmtId="0" fontId="11" fillId="0" borderId="1" xfId="15" applyAlignment="1">
      <alignment horizontal="center" wrapText="1"/>
    </xf>
    <xf numFmtId="0" fontId="11" fillId="0" borderId="1" xfId="15" applyAlignment="1">
      <alignment wrapText="1"/>
    </xf>
    <xf numFmtId="1" fontId="43" fillId="0" borderId="1" xfId="0" applyNumberFormat="1" applyFont="1" applyFill="1" applyBorder="1"/>
    <xf numFmtId="37" fontId="43" fillId="34" borderId="17" xfId="0" applyNumberFormat="1" applyFont="1" applyFill="1" applyBorder="1"/>
    <xf numFmtId="171" fontId="43" fillId="34" borderId="17" xfId="0" applyNumberFormat="1" applyFont="1" applyFill="1" applyBorder="1"/>
    <xf numFmtId="9" fontId="0" fillId="0" borderId="0" xfId="1" applyFont="1" applyAlignment="1"/>
    <xf numFmtId="179" fontId="21" fillId="0" borderId="1" xfId="13" applyNumberFormat="1" applyFont="1" applyBorder="1"/>
    <xf numFmtId="166" fontId="43" fillId="0" borderId="39" xfId="5" applyFont="1" applyFill="1" applyBorder="1"/>
    <xf numFmtId="171" fontId="34" fillId="0" borderId="1" xfId="1" applyNumberFormat="1" applyFont="1" applyBorder="1"/>
    <xf numFmtId="1" fontId="39" fillId="0" borderId="0" xfId="0" applyNumberFormat="1" applyFont="1"/>
    <xf numFmtId="171" fontId="43" fillId="0" borderId="1" xfId="1" applyNumberFormat="1" applyFont="1" applyFill="1" applyBorder="1"/>
    <xf numFmtId="49" fontId="89" fillId="13" borderId="1" xfId="10" applyNumberFormat="1" applyFont="1" applyFill="1" applyAlignment="1">
      <alignment horizontal="left" vertical="center"/>
    </xf>
    <xf numFmtId="176" fontId="89" fillId="13" borderId="1" xfId="10" applyNumberFormat="1" applyFont="1" applyFill="1" applyAlignment="1">
      <alignment horizontal="right" vertical="center"/>
    </xf>
    <xf numFmtId="0" fontId="100" fillId="35" borderId="0" xfId="0" applyFont="1" applyFill="1"/>
    <xf numFmtId="49" fontId="14" fillId="13" borderId="1" xfId="10" applyNumberFormat="1" applyFill="1" applyAlignment="1">
      <alignment horizontal="left" vertical="center"/>
    </xf>
    <xf numFmtId="0" fontId="14" fillId="13" borderId="1" xfId="10" applyNumberFormat="1" applyFill="1" applyAlignment="1">
      <alignment horizontal="left" vertical="center"/>
    </xf>
    <xf numFmtId="4" fontId="14" fillId="13" borderId="1" xfId="10" applyNumberFormat="1" applyFill="1"/>
    <xf numFmtId="0" fontId="14" fillId="13" borderId="1" xfId="10" applyFill="1"/>
    <xf numFmtId="176" fontId="14" fillId="13" borderId="1" xfId="10" applyNumberFormat="1" applyFill="1" applyAlignment="1">
      <alignment horizontal="right" vertical="center"/>
    </xf>
    <xf numFmtId="8" fontId="14" fillId="13" borderId="1" xfId="10" applyNumberFormat="1" applyFill="1"/>
    <xf numFmtId="0" fontId="16" fillId="13" borderId="1" xfId="9" applyFill="1"/>
    <xf numFmtId="176" fontId="16" fillId="13" borderId="1" xfId="9" applyNumberFormat="1" applyFill="1" applyAlignment="1">
      <alignment horizontal="right" vertical="center"/>
    </xf>
    <xf numFmtId="8" fontId="24" fillId="13" borderId="1" xfId="0" applyNumberFormat="1" applyFont="1" applyFill="1" applyBorder="1" applyAlignment="1">
      <alignment horizontal="left" vertical="top"/>
    </xf>
    <xf numFmtId="8" fontId="16" fillId="13" borderId="1" xfId="9" applyNumberFormat="1" applyFill="1"/>
    <xf numFmtId="8" fontId="20" fillId="13" borderId="1" xfId="6" applyNumberFormat="1" applyFill="1"/>
    <xf numFmtId="4" fontId="16" fillId="13" borderId="1" xfId="9" applyNumberFormat="1" applyFill="1"/>
    <xf numFmtId="4" fontId="24" fillId="13" borderId="1" xfId="0" applyNumberFormat="1" applyFont="1" applyFill="1" applyBorder="1" applyAlignment="1">
      <alignment horizontal="left" vertical="top"/>
    </xf>
    <xf numFmtId="0" fontId="32" fillId="0" borderId="0" xfId="0" applyFont="1" applyAlignment="1">
      <alignment horizontal="left" vertical="center"/>
    </xf>
    <xf numFmtId="3" fontId="35" fillId="0" borderId="23" xfId="0" applyNumberFormat="1" applyFont="1" applyFill="1" applyBorder="1"/>
    <xf numFmtId="3" fontId="61" fillId="0" borderId="13" xfId="0" applyNumberFormat="1" applyFont="1" applyFill="1" applyBorder="1"/>
    <xf numFmtId="10" fontId="35" fillId="3" borderId="8" xfId="0" applyNumberFormat="1" applyFont="1" applyFill="1" applyBorder="1"/>
    <xf numFmtId="4" fontId="66" fillId="36" borderId="0" xfId="0" applyNumberFormat="1" applyFont="1" applyFill="1" applyAlignment="1">
      <alignment horizontal="center" vertical="top"/>
    </xf>
    <xf numFmtId="49" fontId="89" fillId="0" borderId="1" xfId="12" applyNumberFormat="1" applyFont="1" applyFill="1" applyAlignment="1">
      <alignment horizontal="center" vertical="center"/>
    </xf>
    <xf numFmtId="166" fontId="89" fillId="0" borderId="1" xfId="5" applyFont="1" applyFill="1" applyBorder="1" applyAlignment="1">
      <alignment horizontal="center" vertical="center"/>
    </xf>
    <xf numFmtId="178" fontId="89"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3"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3" fillId="0" borderId="1" xfId="5" applyFont="1" applyFill="1" applyBorder="1" applyAlignment="1">
      <alignment horizontal="center" vertical="center"/>
    </xf>
    <xf numFmtId="178" fontId="93" fillId="0" borderId="1" xfId="12" applyNumberFormat="1" applyFill="1" applyAlignment="1">
      <alignment horizontal="center" vertical="center"/>
    </xf>
    <xf numFmtId="0" fontId="0" fillId="0" borderId="1" xfId="12" applyFont="1" applyFill="1"/>
    <xf numFmtId="0" fontId="58" fillId="0" borderId="1" xfId="11" applyFill="1"/>
    <xf numFmtId="171" fontId="32" fillId="0" borderId="0" xfId="0" applyNumberFormat="1" applyFont="1"/>
    <xf numFmtId="49" fontId="89" fillId="20" borderId="1" xfId="6" applyNumberFormat="1" applyFont="1" applyFill="1" applyAlignment="1">
      <alignment horizontal="left" vertical="center"/>
    </xf>
    <xf numFmtId="176" fontId="89" fillId="20" borderId="1" xfId="6" applyNumberFormat="1" applyFont="1" applyFill="1" applyAlignment="1">
      <alignment horizontal="right" vertical="center"/>
    </xf>
    <xf numFmtId="0" fontId="18" fillId="20" borderId="1" xfId="8" applyFill="1"/>
    <xf numFmtId="176" fontId="18" fillId="20" borderId="1" xfId="8" applyNumberFormat="1" applyFill="1" applyAlignment="1">
      <alignment horizontal="right" vertical="center"/>
    </xf>
    <xf numFmtId="49" fontId="24" fillId="20" borderId="1" xfId="0" applyNumberFormat="1" applyFont="1" applyFill="1" applyBorder="1" applyAlignment="1">
      <alignment horizontal="left" vertical="center"/>
    </xf>
    <xf numFmtId="0" fontId="24" fillId="20" borderId="1" xfId="0" applyFont="1" applyFill="1" applyBorder="1" applyAlignment="1">
      <alignment horizontal="left" vertical="top"/>
    </xf>
    <xf numFmtId="0" fontId="20" fillId="20" borderId="1" xfId="6" applyFill="1"/>
    <xf numFmtId="176" fontId="20" fillId="20" borderId="1" xfId="6" applyNumberFormat="1" applyFill="1" applyAlignment="1">
      <alignment horizontal="right" vertical="center"/>
    </xf>
    <xf numFmtId="0" fontId="19" fillId="20" borderId="1" xfId="7" applyFill="1"/>
    <xf numFmtId="176" fontId="19" fillId="20" borderId="1" xfId="7" applyNumberFormat="1" applyFill="1" applyAlignment="1">
      <alignment horizontal="right" vertical="center"/>
    </xf>
    <xf numFmtId="0" fontId="24" fillId="20" borderId="1" xfId="0" applyFont="1" applyFill="1" applyBorder="1"/>
    <xf numFmtId="174" fontId="24" fillId="20" borderId="1" xfId="0" applyNumberFormat="1" applyFont="1" applyFill="1" applyBorder="1" applyAlignment="1">
      <alignment horizontal="right" vertical="center"/>
    </xf>
    <xf numFmtId="49" fontId="24" fillId="37" borderId="1" xfId="0" applyNumberFormat="1" applyFont="1" applyFill="1" applyBorder="1" applyAlignment="1">
      <alignment horizontal="left" vertical="center"/>
    </xf>
    <xf numFmtId="0" fontId="24" fillId="37" borderId="1" xfId="0" applyFont="1" applyFill="1" applyBorder="1"/>
    <xf numFmtId="0" fontId="24" fillId="37" borderId="1" xfId="0" applyFont="1" applyFill="1" applyBorder="1" applyAlignment="1">
      <alignment horizontal="left" vertical="top"/>
    </xf>
    <xf numFmtId="0" fontId="11" fillId="0" borderId="212" xfId="15" applyBorder="1" applyAlignment="1" applyProtection="1">
      <alignment horizontal="left" vertical="center" wrapText="1" indent="1"/>
      <protection locked="0"/>
    </xf>
    <xf numFmtId="0" fontId="11" fillId="0" borderId="218" xfId="15" applyBorder="1" applyAlignment="1" applyProtection="1">
      <alignment horizontal="left" vertical="center" wrapText="1" indent="1"/>
      <protection locked="0"/>
    </xf>
    <xf numFmtId="0" fontId="11" fillId="0" borderId="168" xfId="15" applyBorder="1" applyAlignment="1" applyProtection="1">
      <alignment horizontal="left" vertical="center" wrapText="1" indent="1"/>
      <protection locked="0"/>
    </xf>
    <xf numFmtId="0" fontId="101" fillId="38" borderId="0" xfId="0" applyFont="1" applyFill="1" applyAlignment="1"/>
    <xf numFmtId="0" fontId="102" fillId="35" borderId="1" xfId="16" applyFont="1" applyFill="1"/>
    <xf numFmtId="0" fontId="10" fillId="0" borderId="1" xfId="16"/>
    <xf numFmtId="0" fontId="86" fillId="0" borderId="1" xfId="16" applyFont="1" applyAlignment="1">
      <alignment horizontal="left" indent="1"/>
    </xf>
    <xf numFmtId="6" fontId="86" fillId="39" borderId="1" xfId="16" applyNumberFormat="1" applyFont="1" applyFill="1" applyProtection="1">
      <protection locked="0"/>
    </xf>
    <xf numFmtId="6" fontId="86" fillId="0" borderId="1" xfId="16" applyNumberFormat="1" applyFont="1"/>
    <xf numFmtId="6" fontId="86" fillId="39" borderId="1" xfId="17" applyNumberFormat="1" applyFont="1" applyFill="1" applyAlignment="1" applyProtection="1">
      <protection locked="0"/>
    </xf>
    <xf numFmtId="171" fontId="86" fillId="0" borderId="1" xfId="18" applyNumberFormat="1" applyFont="1" applyFill="1" applyAlignment="1" applyProtection="1">
      <alignment horizontal="center"/>
      <protection locked="0"/>
    </xf>
    <xf numFmtId="6" fontId="86" fillId="39" borderId="1" xfId="17" applyNumberFormat="1" applyFont="1" applyFill="1"/>
    <xf numFmtId="3" fontId="86" fillId="39" borderId="1" xfId="16" applyNumberFormat="1" applyFont="1" applyFill="1" applyAlignment="1" applyProtection="1">
      <alignment horizontal="right" indent="2"/>
      <protection locked="0"/>
    </xf>
    <xf numFmtId="171" fontId="10" fillId="0" borderId="1" xfId="18" applyNumberFormat="1" applyFont="1" applyFill="1" applyAlignment="1" applyProtection="1">
      <alignment horizontal="center"/>
      <protection locked="0"/>
    </xf>
    <xf numFmtId="6" fontId="103" fillId="0" borderId="223" xfId="16" applyNumberFormat="1" applyFont="1" applyBorder="1"/>
    <xf numFmtId="6" fontId="103" fillId="0" borderId="223" xfId="17" applyNumberFormat="1" applyFont="1" applyBorder="1"/>
    <xf numFmtId="6" fontId="86" fillId="0" borderId="223" xfId="16" applyNumberFormat="1" applyFont="1" applyBorder="1"/>
    <xf numFmtId="171" fontId="104" fillId="0" borderId="1" xfId="18" applyNumberFormat="1" applyFont="1" applyAlignment="1">
      <alignment horizontal="center" vertical="top"/>
    </xf>
    <xf numFmtId="6" fontId="86" fillId="0" borderId="1" xfId="17" applyNumberFormat="1" applyFont="1" applyAlignment="1"/>
    <xf numFmtId="171" fontId="86" fillId="0" borderId="1" xfId="18" applyNumberFormat="1" applyFont="1" applyAlignment="1">
      <alignment horizontal="center"/>
    </xf>
    <xf numFmtId="3" fontId="86" fillId="0" borderId="1" xfId="16" applyNumberFormat="1" applyFont="1" applyAlignment="1">
      <alignment horizontal="right" indent="2"/>
    </xf>
    <xf numFmtId="6" fontId="105" fillId="0" borderId="1" xfId="16" applyNumberFormat="1" applyFont="1" applyAlignment="1">
      <alignment horizontal="center" vertical="center"/>
    </xf>
    <xf numFmtId="6" fontId="105" fillId="0" borderId="1" xfId="17" applyNumberFormat="1" applyFont="1" applyAlignment="1">
      <alignment horizontal="center" vertical="center"/>
    </xf>
    <xf numFmtId="1" fontId="86" fillId="39" borderId="1" xfId="16" applyNumberFormat="1" applyFont="1" applyFill="1" applyAlignment="1" applyProtection="1">
      <alignment horizontal="right" indent="2"/>
      <protection locked="0"/>
    </xf>
    <xf numFmtId="1" fontId="86" fillId="0" borderId="1" xfId="16" applyNumberFormat="1" applyFont="1" applyAlignment="1">
      <alignment horizontal="right" indent="2"/>
    </xf>
    <xf numFmtId="0" fontId="10" fillId="0" borderId="170" xfId="16" applyFont="1" applyBorder="1" applyAlignment="1">
      <alignment horizontal="center"/>
    </xf>
    <xf numFmtId="0" fontId="10" fillId="0" borderId="1" xfId="16" applyFont="1"/>
    <xf numFmtId="0" fontId="10" fillId="0" borderId="170" xfId="16" applyFont="1" applyBorder="1"/>
    <xf numFmtId="0" fontId="10" fillId="0" borderId="1" xfId="16" applyFont="1" applyAlignment="1">
      <alignment horizontal="left" indent="1"/>
    </xf>
    <xf numFmtId="1" fontId="10" fillId="39" borderId="1" xfId="16" applyNumberFormat="1" applyFont="1" applyFill="1" applyAlignment="1" applyProtection="1">
      <alignment horizontal="right" indent="2"/>
      <protection locked="0"/>
    </xf>
    <xf numFmtId="6" fontId="10" fillId="39" borderId="1" xfId="16" applyNumberFormat="1" applyFont="1" applyFill="1" applyProtection="1">
      <protection locked="0"/>
    </xf>
    <xf numFmtId="6" fontId="10" fillId="0" borderId="1" xfId="16" applyNumberFormat="1" applyFont="1"/>
    <xf numFmtId="6" fontId="10" fillId="39" borderId="1" xfId="17" applyNumberFormat="1" applyFont="1" applyFill="1" applyAlignment="1" applyProtection="1">
      <protection locked="0"/>
    </xf>
    <xf numFmtId="6" fontId="10" fillId="39" borderId="1" xfId="17" applyNumberFormat="1" applyFont="1" applyFill="1"/>
    <xf numFmtId="0" fontId="10" fillId="0" borderId="1" xfId="16" applyFont="1" applyAlignment="1">
      <alignment horizontal="left" indent="2"/>
    </xf>
    <xf numFmtId="1" fontId="10" fillId="0" borderId="223" xfId="16" applyNumberFormat="1" applyFont="1" applyBorder="1" applyAlignment="1">
      <alignment horizontal="right" indent="2"/>
    </xf>
    <xf numFmtId="6" fontId="10" fillId="0" borderId="223" xfId="16" applyNumberFormat="1" applyFont="1" applyBorder="1"/>
    <xf numFmtId="6" fontId="10" fillId="0" borderId="223" xfId="17" applyNumberFormat="1" applyFont="1" applyBorder="1" applyAlignment="1"/>
    <xf numFmtId="171" fontId="10" fillId="0" borderId="223" xfId="18" applyNumberFormat="1" applyFont="1" applyBorder="1" applyAlignment="1">
      <alignment horizontal="center"/>
    </xf>
    <xf numFmtId="1" fontId="10" fillId="0" borderId="1" xfId="16" applyNumberFormat="1" applyFont="1"/>
    <xf numFmtId="6" fontId="10" fillId="0" borderId="1" xfId="17" applyNumberFormat="1" applyFont="1"/>
    <xf numFmtId="171" fontId="10" fillId="0" borderId="1" xfId="16" applyNumberFormat="1" applyFont="1" applyAlignment="1">
      <alignment horizontal="center"/>
    </xf>
    <xf numFmtId="171" fontId="10" fillId="0" borderId="1" xfId="18" applyNumberFormat="1" applyFont="1" applyAlignment="1">
      <alignment horizontal="center"/>
    </xf>
    <xf numFmtId="171" fontId="10" fillId="0" borderId="1" xfId="18" applyNumberFormat="1" applyFont="1" applyBorder="1" applyAlignment="1">
      <alignment horizontal="center"/>
    </xf>
    <xf numFmtId="6" fontId="10" fillId="0" borderId="1" xfId="17" applyNumberFormat="1" applyFont="1" applyBorder="1"/>
    <xf numFmtId="1" fontId="10" fillId="0" borderId="1" xfId="16" applyNumberFormat="1" applyFont="1" applyAlignment="1">
      <alignment horizontal="right" indent="2"/>
    </xf>
    <xf numFmtId="6" fontId="10" fillId="0" borderId="1" xfId="17" applyNumberFormat="1" applyFont="1" applyAlignment="1"/>
    <xf numFmtId="0" fontId="10" fillId="0" borderId="170" xfId="16" applyFont="1" applyBorder="1" applyAlignment="1">
      <alignment horizontal="left"/>
    </xf>
    <xf numFmtId="6" fontId="10" fillId="0" borderId="1" xfId="16" applyNumberFormat="1" applyFont="1" applyAlignment="1">
      <alignment horizontal="center"/>
    </xf>
    <xf numFmtId="6" fontId="10" fillId="0" borderId="1" xfId="17" applyNumberFormat="1" applyFont="1" applyAlignment="1">
      <alignment horizontal="center"/>
    </xf>
    <xf numFmtId="6" fontId="10" fillId="0" borderId="223" xfId="17" applyNumberFormat="1" applyFont="1" applyBorder="1"/>
    <xf numFmtId="0" fontId="10" fillId="0" borderId="1" xfId="16" applyFont="1" applyAlignment="1">
      <alignment horizontal="left"/>
    </xf>
    <xf numFmtId="171" fontId="10" fillId="0" borderId="1" xfId="18" applyNumberFormat="1" applyFont="1" applyAlignment="1">
      <alignment horizontal="right" indent="1"/>
    </xf>
    <xf numFmtId="0" fontId="10" fillId="0" borderId="1" xfId="16" applyFont="1" applyAlignment="1">
      <alignment horizontal="center"/>
    </xf>
    <xf numFmtId="3" fontId="10" fillId="39" borderId="1" xfId="16" applyNumberFormat="1" applyFont="1" applyFill="1" applyAlignment="1" applyProtection="1">
      <alignment horizontal="right" indent="2"/>
      <protection locked="0"/>
    </xf>
    <xf numFmtId="3" fontId="10" fillId="0" borderId="223" xfId="16" applyNumberFormat="1" applyFont="1" applyBorder="1" applyAlignment="1">
      <alignment horizontal="right" indent="2"/>
    </xf>
    <xf numFmtId="3" fontId="10" fillId="0" borderId="1" xfId="16" applyNumberFormat="1" applyFont="1" applyAlignment="1">
      <alignment horizontal="right" indent="2"/>
    </xf>
    <xf numFmtId="0" fontId="86" fillId="0" borderId="224" xfId="16" applyFont="1" applyBorder="1" applyAlignment="1">
      <alignment horizontal="centerContinuous"/>
    </xf>
    <xf numFmtId="0" fontId="86" fillId="0" borderId="225" xfId="16" applyFont="1" applyBorder="1" applyAlignment="1">
      <alignment horizontal="centerContinuous"/>
    </xf>
    <xf numFmtId="0" fontId="86" fillId="0" borderId="226" xfId="16" applyFont="1" applyBorder="1" applyAlignment="1">
      <alignment horizontal="centerContinuous"/>
    </xf>
    <xf numFmtId="0" fontId="100" fillId="35" borderId="0" xfId="0" applyFont="1" applyFill="1" applyAlignment="1">
      <alignment vertical="center"/>
    </xf>
    <xf numFmtId="0" fontId="26" fillId="0" borderId="0" xfId="0" applyFont="1" applyAlignment="1">
      <alignment horizontal="center" vertical="center"/>
    </xf>
    <xf numFmtId="0" fontId="26" fillId="0" borderId="0" xfId="0" applyFont="1" applyAlignment="1">
      <alignment horizontal="right" vertical="center"/>
    </xf>
    <xf numFmtId="0" fontId="37" fillId="0" borderId="0" xfId="0" applyFont="1"/>
    <xf numFmtId="37" fontId="37" fillId="0" borderId="0" xfId="0" applyNumberFormat="1" applyFont="1"/>
    <xf numFmtId="0" fontId="37" fillId="0" borderId="0" xfId="0" applyFont="1" applyAlignment="1">
      <alignment horizontal="center"/>
    </xf>
    <xf numFmtId="166" fontId="37" fillId="0" borderId="0" xfId="5" applyFont="1"/>
    <xf numFmtId="166" fontId="37" fillId="0" borderId="223" xfId="5" applyFont="1" applyBorder="1"/>
    <xf numFmtId="0" fontId="37" fillId="0" borderId="170" xfId="0" applyFont="1" applyBorder="1" applyAlignment="1">
      <alignment horizontal="center"/>
    </xf>
    <xf numFmtId="171" fontId="37" fillId="0" borderId="0" xfId="1" applyNumberFormat="1" applyFont="1" applyAlignment="1">
      <alignment horizontal="left" indent="1"/>
    </xf>
    <xf numFmtId="171" fontId="37" fillId="0" borderId="223" xfId="1" applyNumberFormat="1" applyFont="1" applyBorder="1" applyAlignment="1">
      <alignment horizontal="left" indent="1"/>
    </xf>
    <xf numFmtId="181" fontId="37" fillId="0" borderId="0" xfId="0" applyNumberFormat="1" applyFont="1" applyAlignment="1">
      <alignment horizontal="center"/>
    </xf>
    <xf numFmtId="166" fontId="37" fillId="0" borderId="227" xfId="5" applyFont="1" applyBorder="1"/>
    <xf numFmtId="0" fontId="37" fillId="0" borderId="0" xfId="0" applyFont="1" applyAlignment="1"/>
    <xf numFmtId="0" fontId="37" fillId="0" borderId="0" xfId="0" applyFont="1" applyAlignment="1">
      <alignment horizontal="left" indent="2"/>
    </xf>
    <xf numFmtId="0" fontId="37" fillId="0" borderId="227" xfId="0" applyFont="1" applyBorder="1" applyAlignment="1">
      <alignment horizontal="center"/>
    </xf>
    <xf numFmtId="0" fontId="43" fillId="0" borderId="214" xfId="0" applyFont="1" applyBorder="1" applyAlignment="1"/>
    <xf numFmtId="0" fontId="37" fillId="0" borderId="216" xfId="0" applyFont="1" applyBorder="1"/>
    <xf numFmtId="37" fontId="37" fillId="0" borderId="216" xfId="0" applyNumberFormat="1" applyFont="1" applyBorder="1"/>
    <xf numFmtId="0" fontId="37" fillId="0" borderId="215" xfId="0" applyFont="1" applyBorder="1"/>
    <xf numFmtId="0" fontId="37" fillId="0" borderId="1" xfId="0" applyFont="1" applyBorder="1" applyAlignment="1">
      <alignment horizontal="center"/>
    </xf>
    <xf numFmtId="0" fontId="75" fillId="20" borderId="0" xfId="0" applyFont="1" applyFill="1" applyAlignment="1">
      <alignment horizontal="left" vertical="center" indent="1"/>
    </xf>
    <xf numFmtId="0" fontId="36" fillId="20" borderId="0" xfId="0" applyFont="1" applyFill="1" applyAlignment="1">
      <alignment horizontal="left" vertical="center" indent="1"/>
    </xf>
    <xf numFmtId="1" fontId="34" fillId="0" borderId="12" xfId="0" applyNumberFormat="1" applyFont="1" applyFill="1" applyBorder="1"/>
    <xf numFmtId="0" fontId="106" fillId="17" borderId="229" xfId="0" applyFont="1" applyFill="1" applyBorder="1" applyAlignment="1"/>
    <xf numFmtId="0" fontId="107" fillId="17" borderId="230" xfId="0" applyFont="1" applyFill="1" applyBorder="1"/>
    <xf numFmtId="10" fontId="107" fillId="17" borderId="55" xfId="0" applyNumberFormat="1" applyFont="1" applyFill="1" applyBorder="1"/>
    <xf numFmtId="0" fontId="106" fillId="17" borderId="231" xfId="0" applyFont="1" applyFill="1" applyBorder="1"/>
    <xf numFmtId="10" fontId="107" fillId="17" borderId="232" xfId="0" applyNumberFormat="1" applyFont="1" applyFill="1" applyBorder="1"/>
    <xf numFmtId="0" fontId="108" fillId="17" borderId="228" xfId="0" applyFont="1" applyFill="1" applyBorder="1" applyAlignment="1"/>
    <xf numFmtId="14" fontId="42" fillId="0" borderId="0" xfId="0" applyNumberFormat="1" applyFont="1"/>
    <xf numFmtId="166" fontId="0" fillId="0" borderId="1" xfId="5" applyFont="1" applyFill="1" applyBorder="1" applyAlignment="1">
      <alignment horizontal="right" vertical="center"/>
    </xf>
    <xf numFmtId="0" fontId="102" fillId="35" borderId="1" xfId="19" applyFont="1" applyFill="1"/>
    <xf numFmtId="171" fontId="9" fillId="39" borderId="1" xfId="20" applyNumberFormat="1" applyFont="1" applyFill="1" applyAlignment="1" applyProtection="1">
      <alignment horizontal="center"/>
      <protection locked="0"/>
    </xf>
    <xf numFmtId="0" fontId="9" fillId="0" borderId="127" xfId="19" applyFont="1" applyBorder="1" applyAlignment="1">
      <alignment horizontal="centerContinuous"/>
    </xf>
    <xf numFmtId="0" fontId="9" fillId="0" borderId="129" xfId="19" applyFont="1" applyBorder="1" applyAlignment="1">
      <alignment horizontal="centerContinuous"/>
    </xf>
    <xf numFmtId="0" fontId="9" fillId="0" borderId="171" xfId="19" applyFont="1" applyBorder="1" applyAlignment="1">
      <alignment horizontal="centerContinuous"/>
    </xf>
    <xf numFmtId="0" fontId="9" fillId="0" borderId="1" xfId="19" applyFont="1"/>
    <xf numFmtId="0" fontId="9" fillId="0" borderId="233" xfId="19" applyFont="1" applyBorder="1" applyAlignment="1">
      <alignment horizontal="center"/>
    </xf>
    <xf numFmtId="0" fontId="9" fillId="0" borderId="170" xfId="19" applyFont="1" applyBorder="1" applyAlignment="1">
      <alignment horizontal="center"/>
    </xf>
    <xf numFmtId="0" fontId="9" fillId="0" borderId="174" xfId="19" applyFont="1" applyBorder="1"/>
    <xf numFmtId="6" fontId="9" fillId="39" borderId="1" xfId="19" applyNumberFormat="1" applyFont="1" applyFill="1" applyProtection="1">
      <protection locked="0"/>
    </xf>
    <xf numFmtId="0" fontId="9" fillId="0" borderId="1" xfId="19" applyFont="1" applyProtection="1">
      <protection locked="0"/>
    </xf>
    <xf numFmtId="6" fontId="9" fillId="0" borderId="1" xfId="19" applyNumberFormat="1" applyFont="1"/>
    <xf numFmtId="6" fontId="9" fillId="0" borderId="234" xfId="19" applyNumberFormat="1" applyFont="1" applyBorder="1"/>
    <xf numFmtId="171" fontId="9" fillId="0" borderId="234" xfId="20" applyNumberFormat="1" applyFont="1" applyBorder="1" applyAlignment="1">
      <alignment horizontal="center"/>
    </xf>
    <xf numFmtId="171" fontId="9" fillId="0" borderId="1" xfId="20" applyNumberFormat="1" applyFont="1" applyAlignment="1">
      <alignment horizontal="center"/>
    </xf>
    <xf numFmtId="6" fontId="9" fillId="0" borderId="129" xfId="19" applyNumberFormat="1" applyFont="1" applyBorder="1"/>
    <xf numFmtId="171" fontId="9" fillId="0" borderId="129" xfId="20" applyNumberFormat="1" applyFont="1" applyBorder="1" applyAlignment="1">
      <alignment horizontal="center"/>
    </xf>
    <xf numFmtId="6" fontId="9" fillId="0" borderId="227" xfId="19" applyNumberFormat="1" applyFont="1" applyBorder="1"/>
    <xf numFmtId="171" fontId="9" fillId="0" borderId="227" xfId="20" applyNumberFormat="1" applyFont="1" applyBorder="1" applyAlignment="1">
      <alignment horizontal="center"/>
    </xf>
    <xf numFmtId="3" fontId="9" fillId="0" borderId="1" xfId="19" applyNumberFormat="1" applyFont="1"/>
    <xf numFmtId="0" fontId="9" fillId="0" borderId="1" xfId="19" applyFont="1" applyAlignment="1">
      <alignment horizontal="right"/>
    </xf>
    <xf numFmtId="0" fontId="17" fillId="0" borderId="172" xfId="3" applyFont="1" applyFill="1" applyBorder="1" applyAlignment="1">
      <alignment horizontal="left"/>
    </xf>
    <xf numFmtId="1" fontId="17" fillId="0" borderId="180" xfId="3" applyNumberFormat="1" applyFont="1" applyFill="1" applyBorder="1" applyAlignment="1">
      <alignment horizontal="center"/>
    </xf>
    <xf numFmtId="0" fontId="21" fillId="0" borderId="172" xfId="3" applyFill="1" applyBorder="1" applyAlignment="1">
      <alignment horizontal="left" indent="1"/>
    </xf>
    <xf numFmtId="0" fontId="17" fillId="0" borderId="180" xfId="3" applyFont="1" applyFill="1" applyBorder="1" applyAlignment="1">
      <alignment horizontal="center"/>
    </xf>
    <xf numFmtId="0" fontId="21" fillId="0" borderId="174" xfId="3" applyFill="1" applyBorder="1" applyAlignment="1">
      <alignment horizontal="left" indent="1"/>
    </xf>
    <xf numFmtId="167" fontId="17" fillId="0" borderId="186" xfId="3" applyNumberFormat="1" applyFont="1" applyFill="1" applyBorder="1" applyAlignment="1">
      <alignment horizontal="center"/>
    </xf>
    <xf numFmtId="0" fontId="15" fillId="0" borderId="180" xfId="3" applyFont="1" applyFill="1" applyBorder="1" applyAlignment="1">
      <alignment horizontal="center"/>
    </xf>
    <xf numFmtId="167" fontId="15" fillId="0" borderId="186" xfId="3" applyNumberFormat="1" applyFont="1" applyFill="1" applyBorder="1" applyAlignment="1">
      <alignment horizontal="center"/>
    </xf>
    <xf numFmtId="167" fontId="13" fillId="0" borderId="186" xfId="3" applyNumberFormat="1" applyFont="1" applyFill="1" applyBorder="1" applyAlignment="1">
      <alignment horizontal="center"/>
    </xf>
    <xf numFmtId="171" fontId="35" fillId="3" borderId="74" xfId="1" applyNumberFormat="1" applyFont="1" applyFill="1" applyBorder="1"/>
    <xf numFmtId="1" fontId="24" fillId="26" borderId="0" xfId="0" applyNumberFormat="1" applyFont="1" applyFill="1" applyAlignment="1">
      <alignment horizontal="left" vertical="top"/>
    </xf>
    <xf numFmtId="49" fontId="24" fillId="26" borderId="0" xfId="0" applyNumberFormat="1" applyFont="1" applyFill="1" applyAlignment="1">
      <alignment horizontal="left" vertical="top"/>
    </xf>
    <xf numFmtId="0" fontId="55" fillId="10" borderId="0" xfId="0" applyFont="1" applyFill="1" applyBorder="1" applyAlignment="1">
      <alignment horizontal="left" vertical="top"/>
    </xf>
    <xf numFmtId="39" fontId="59" fillId="0" borderId="103" xfId="0" applyNumberFormat="1" applyFont="1" applyBorder="1" applyAlignment="1">
      <alignment horizontal="center"/>
    </xf>
    <xf numFmtId="39" fontId="35" fillId="4" borderId="22" xfId="0" applyNumberFormat="1" applyFont="1" applyFill="1" applyBorder="1" applyAlignment="1">
      <alignment horizontal="center"/>
    </xf>
    <xf numFmtId="14" fontId="0" fillId="0" borderId="0" xfId="0" applyNumberFormat="1" applyFont="1" applyAlignment="1">
      <alignment horizontal="center"/>
    </xf>
    <xf numFmtId="180" fontId="58" fillId="0" borderId="0" xfId="0" applyNumberFormat="1" applyFont="1" applyAlignment="1">
      <alignment horizontal="center"/>
    </xf>
    <xf numFmtId="0" fontId="58" fillId="0" borderId="0" xfId="0" applyFont="1" applyAlignment="1">
      <alignment horizontal="center"/>
    </xf>
    <xf numFmtId="1" fontId="89" fillId="13" borderId="1" xfId="10" applyNumberFormat="1" applyFont="1" applyFill="1" applyAlignment="1">
      <alignment horizontal="center" vertical="center"/>
    </xf>
    <xf numFmtId="1" fontId="24" fillId="13" borderId="1" xfId="0" applyNumberFormat="1" applyFont="1" applyFill="1" applyBorder="1" applyAlignment="1">
      <alignment horizontal="center" vertical="top"/>
    </xf>
    <xf numFmtId="1" fontId="18" fillId="13" borderId="1" xfId="8" applyNumberFormat="1" applyFill="1" applyAlignment="1">
      <alignment horizontal="center"/>
    </xf>
    <xf numFmtId="1" fontId="16" fillId="13" borderId="1" xfId="9" applyNumberFormat="1" applyFill="1" applyAlignment="1">
      <alignment horizontal="center"/>
    </xf>
    <xf numFmtId="1" fontId="24"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6" fillId="26" borderId="0" xfId="0" applyNumberFormat="1" applyFont="1" applyFill="1" applyAlignment="1">
      <alignment horizontal="center" vertical="top"/>
    </xf>
    <xf numFmtId="4" fontId="24" fillId="26" borderId="0" xfId="0" applyNumberFormat="1" applyFont="1" applyFill="1" applyAlignment="1">
      <alignment horizontal="center" vertical="top"/>
    </xf>
    <xf numFmtId="10" fontId="111" fillId="0" borderId="0" xfId="1" applyNumberFormat="1" applyFont="1" applyAlignment="1"/>
    <xf numFmtId="0" fontId="58" fillId="0" borderId="0" xfId="0" applyFont="1" applyAlignment="1"/>
    <xf numFmtId="0" fontId="8" fillId="0" borderId="1" xfId="16" applyFont="1"/>
    <xf numFmtId="0" fontId="8" fillId="0" borderId="1" xfId="16" applyFont="1" applyAlignment="1">
      <alignment horizontal="left" indent="1"/>
    </xf>
    <xf numFmtId="0" fontId="7" fillId="0" borderId="1" xfId="16" applyFont="1" applyAlignment="1">
      <alignment horizontal="left" indent="1"/>
    </xf>
    <xf numFmtId="1" fontId="10"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7" fillId="0" borderId="127" xfId="16" applyFont="1" applyBorder="1"/>
    <xf numFmtId="0" fontId="10" fillId="0" borderId="129" xfId="16" applyFont="1" applyBorder="1"/>
    <xf numFmtId="0" fontId="10" fillId="0" borderId="171" xfId="16" applyFont="1" applyBorder="1"/>
    <xf numFmtId="0" fontId="23" fillId="32" borderId="205" xfId="0" applyFont="1" applyFill="1" applyBorder="1" applyAlignment="1">
      <alignment horizontal="center"/>
    </xf>
    <xf numFmtId="4" fontId="0" fillId="0" borderId="0" xfId="0" applyNumberFormat="1" applyFont="1" applyAlignment="1"/>
    <xf numFmtId="37" fontId="112" fillId="0" borderId="0" xfId="0" applyNumberFormat="1" applyFont="1" applyFill="1"/>
    <xf numFmtId="49" fontId="6" fillId="13" borderId="1" xfId="21" applyNumberFormat="1" applyFill="1" applyAlignment="1">
      <alignment horizontal="left" vertical="center"/>
    </xf>
    <xf numFmtId="0" fontId="6" fillId="13" borderId="1" xfId="21" applyFill="1"/>
    <xf numFmtId="182" fontId="6" fillId="13" borderId="1" xfId="21" applyNumberFormat="1" applyFill="1" applyAlignment="1">
      <alignment horizontal="right" vertical="center"/>
    </xf>
    <xf numFmtId="0" fontId="6" fillId="13" borderId="1" xfId="21" applyNumberFormat="1" applyFill="1" applyAlignment="1">
      <alignment horizontal="left" vertical="center"/>
    </xf>
    <xf numFmtId="0" fontId="60" fillId="22" borderId="104" xfId="0" applyFont="1" applyFill="1" applyBorder="1" applyAlignment="1">
      <alignment horizontal="center"/>
    </xf>
    <xf numFmtId="0" fontId="60" fillId="22" borderId="105" xfId="0" applyFont="1" applyFill="1" applyBorder="1" applyAlignment="1">
      <alignment horizontal="center"/>
    </xf>
    <xf numFmtId="0" fontId="60" fillId="22" borderId="106" xfId="0" applyFont="1" applyFill="1" applyBorder="1" applyAlignment="1">
      <alignment horizontal="center"/>
    </xf>
    <xf numFmtId="0" fontId="68" fillId="0" borderId="53" xfId="2" applyFont="1" applyBorder="1" applyAlignment="1">
      <alignment horizontal="center"/>
    </xf>
    <xf numFmtId="0" fontId="68" fillId="0" borderId="1" xfId="2" applyFont="1" applyAlignment="1">
      <alignment horizontal="center"/>
    </xf>
    <xf numFmtId="0" fontId="86" fillId="20" borderId="209" xfId="15" applyFont="1" applyFill="1" applyBorder="1" applyAlignment="1">
      <alignment horizontal="center" vertical="center" wrapText="1"/>
    </xf>
    <xf numFmtId="0" fontId="86" fillId="20" borderId="213" xfId="15" applyFont="1" applyFill="1" applyBorder="1" applyAlignment="1">
      <alignment horizontal="center" vertical="center" wrapText="1"/>
    </xf>
    <xf numFmtId="0" fontId="87" fillId="11" borderId="214" xfId="15" applyFont="1" applyFill="1" applyBorder="1" applyAlignment="1">
      <alignment horizontal="center" vertical="center" wrapText="1"/>
    </xf>
    <xf numFmtId="0" fontId="87" fillId="11" borderId="215" xfId="15" applyFont="1" applyFill="1" applyBorder="1" applyAlignment="1">
      <alignment horizontal="center" vertical="center" wrapText="1"/>
    </xf>
    <xf numFmtId="0" fontId="24" fillId="28" borderId="205" xfId="0" applyFont="1" applyFill="1" applyBorder="1" applyAlignment="1">
      <alignment horizontal="left" vertical="top" wrapText="1"/>
    </xf>
    <xf numFmtId="0" fontId="66" fillId="0" borderId="206" xfId="0" applyFont="1" applyBorder="1"/>
    <xf numFmtId="0" fontId="66" fillId="0" borderId="207" xfId="0" applyFont="1" applyBorder="1"/>
    <xf numFmtId="0" fontId="87" fillId="0" borderId="53" xfId="3" applyFont="1" applyBorder="1" applyAlignment="1">
      <alignment horizontal="center"/>
    </xf>
    <xf numFmtId="0" fontId="24" fillId="28" borderId="233" xfId="0" applyFont="1" applyFill="1" applyBorder="1" applyAlignment="1">
      <alignment horizontal="left" vertical="top" wrapText="1"/>
    </xf>
    <xf numFmtId="0" fontId="66" fillId="0" borderId="172" xfId="0" applyFont="1" applyBorder="1"/>
    <xf numFmtId="0" fontId="66" fillId="0" borderId="174" xfId="0" applyFont="1" applyBorder="1"/>
    <xf numFmtId="0" fontId="35" fillId="0" borderId="66" xfId="0" applyFont="1" applyBorder="1" applyAlignment="1">
      <alignment horizontal="center"/>
    </xf>
    <xf numFmtId="0" fontId="36" fillId="0" borderId="66" xfId="0" applyFont="1" applyBorder="1"/>
    <xf numFmtId="0" fontId="36" fillId="0" borderId="67" xfId="0" applyFont="1" applyBorder="1"/>
    <xf numFmtId="0" fontId="35" fillId="0" borderId="69" xfId="0" applyFont="1" applyBorder="1" applyAlignment="1">
      <alignment horizontal="center"/>
    </xf>
    <xf numFmtId="0" fontId="36" fillId="0" borderId="62" xfId="0" applyFont="1" applyBorder="1"/>
    <xf numFmtId="0" fontId="35" fillId="0" borderId="90" xfId="0" applyFont="1" applyBorder="1" applyAlignment="1">
      <alignment horizontal="center" vertical="center"/>
    </xf>
    <xf numFmtId="0" fontId="36" fillId="0" borderId="88" xfId="0" applyFont="1" applyBorder="1"/>
    <xf numFmtId="0" fontId="36" fillId="0" borderId="91" xfId="0" applyFont="1" applyBorder="1"/>
    <xf numFmtId="0" fontId="35" fillId="0" borderId="88" xfId="0" applyFont="1" applyBorder="1" applyAlignment="1">
      <alignment horizontal="center" vertical="center"/>
    </xf>
    <xf numFmtId="0" fontId="36" fillId="0" borderId="89" xfId="0" applyFont="1" applyBorder="1"/>
    <xf numFmtId="0" fontId="35" fillId="0" borderId="67" xfId="0" applyFont="1" applyBorder="1" applyAlignment="1">
      <alignment horizontal="center"/>
    </xf>
    <xf numFmtId="0" fontId="35" fillId="0" borderId="62" xfId="0" applyFont="1" applyBorder="1" applyAlignment="1">
      <alignment horizontal="center"/>
    </xf>
    <xf numFmtId="49" fontId="1" fillId="20" borderId="1" xfId="26" applyNumberFormat="1" applyFill="1" applyAlignment="1">
      <alignment horizontal="left" vertical="center"/>
    </xf>
    <xf numFmtId="0" fontId="1" fillId="20" borderId="1" xfId="26" applyNumberFormat="1" applyFill="1" applyAlignment="1">
      <alignment horizontal="left" vertical="center"/>
    </xf>
    <xf numFmtId="0" fontId="1" fillId="20" borderId="1" xfId="26" applyFill="1"/>
    <xf numFmtId="182" fontId="1" fillId="20" borderId="1" xfId="26" applyNumberFormat="1" applyFill="1" applyAlignment="1">
      <alignment horizontal="right" vertical="center"/>
    </xf>
    <xf numFmtId="39" fontId="91" fillId="0" borderId="0" xfId="0" applyNumberFormat="1" applyFont="1"/>
    <xf numFmtId="165" fontId="42" fillId="0" borderId="0" xfId="13" applyFont="1"/>
  </cellXfs>
  <cellStyles count="27">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4" xfId="23"/>
    <cellStyle name="Normal 15" xfId="24"/>
    <cellStyle name="Normal 16" xfId="25"/>
    <cellStyle name="Normal 16 2" xfId="15"/>
    <cellStyle name="Normal 17" xfId="26"/>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17" sqref="B17"/>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1937</v>
      </c>
      <c r="C3" s="155">
        <f>+VLOOKUP(B3,$K$3:$L$14,2,0)</f>
        <v>11</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
      </c>
      <c r="N12" s="155" t="str">
        <f t="shared" si="1"/>
        <v>X</v>
      </c>
    </row>
    <row r="13" spans="1:14">
      <c r="A13" s="2"/>
      <c r="I13" s="2"/>
      <c r="K13" t="s">
        <v>1937</v>
      </c>
      <c r="L13" s="155">
        <v>11</v>
      </c>
      <c r="M13" s="155" t="str">
        <f t="shared" si="0"/>
        <v>X</v>
      </c>
      <c r="N13" s="155" t="str">
        <f t="shared" si="1"/>
        <v>X</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Novembre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X</v>
      </c>
      <c r="AK2" s="610" t="str">
        <f>+IF(Parametres!$B$3=AJ$6,"O","")</f>
        <v>O</v>
      </c>
      <c r="AL2" s="610" t="str">
        <f>+IF(Parametres!$B$3=AJ$6,"U","")</f>
        <v>U</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X</v>
      </c>
      <c r="AK3" s="615" t="str">
        <f>+IF(VLOOKUP(AJ$6,Parametres!$K$3:$N$14,4,0)="X","O","")</f>
        <v>O</v>
      </c>
      <c r="AL3" s="615" t="str">
        <f>+IF(VLOOKUP(AJ$6,Parametres!$K$3:$N$14,4,0)="X","U","")</f>
        <v>U</v>
      </c>
      <c r="AM3" s="615" t="str">
        <f>+IF(VLOOKUP(AM$6,Parametres!$K$3:$N$14,4,0)="X","X","")</f>
        <v/>
      </c>
      <c r="AN3" s="615" t="str">
        <f>+IF(VLOOKUP(AM$6,Parametres!$K$3:$N$14,4,0)="X","O","")</f>
        <v/>
      </c>
      <c r="AO3" s="615" t="str">
        <f>+IF(VLOOKUP(AM$6,Parametres!$K$3:$N$14,4,0)="X","U","")</f>
        <v/>
      </c>
    </row>
    <row r="4" spans="1:219" s="579" customFormat="1" ht="35.25">
      <c r="A4" s="1092"/>
      <c r="B4" s="1092" t="s">
        <v>2957</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X</v>
      </c>
      <c r="AK2" s="610" t="str">
        <f>+IF(Parametres!$B$3=AJ$6,"O","")</f>
        <v>O</v>
      </c>
      <c r="AL2" s="610" t="str">
        <f>+IF(Parametres!$B$3=AJ$6,"U","")</f>
        <v>U</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X</v>
      </c>
      <c r="AK3" s="615" t="str">
        <f>+IF(VLOOKUP(AJ$6,Parametres!$K$3:$N$14,4,0)="X","O","")</f>
        <v>O</v>
      </c>
      <c r="AL3" s="615" t="str">
        <f>+IF(VLOOKUP(AJ$6,Parametres!$K$3:$N$14,4,0)="X","U","")</f>
        <v>U</v>
      </c>
      <c r="AM3" s="615" t="str">
        <f>+IF(VLOOKUP(AM$6,Parametres!$K$3:$N$14,4,0)="X","X","")</f>
        <v/>
      </c>
      <c r="AN3" s="615" t="str">
        <f>+IF(VLOOKUP(AM$6,Parametres!$K$3:$N$14,4,0)="X","O","")</f>
        <v/>
      </c>
      <c r="AO3" s="615" t="str">
        <f>+IF(VLOOKUP(AM$6,Parametres!$K$3:$N$14,4,0)="X","U","")</f>
        <v/>
      </c>
    </row>
    <row r="4" spans="1:219" s="579" customFormat="1" ht="35.25">
      <c r="A4" s="580"/>
      <c r="B4" s="580" t="s">
        <v>2996</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REEL</v>
      </c>
      <c r="P3" s="1152" t="str">
        <f>+IF(VLOOKUP(P2,Parametres!$L$3:$N$14,3,0)="X","REEL","FORECAST")</f>
        <v>REEL</v>
      </c>
      <c r="Q3" s="1152" t="str">
        <f>+IF(VLOOKUP(Q2,Parametres!$L$3:$N$14,3,0)="X","REEL","FORECAST")</f>
        <v>REEL</v>
      </c>
      <c r="R3" s="1152" t="str">
        <f>+IF(VLOOKUP(R2,Parametres!$L$3:$N$14,3,0)="X","REEL","FORECAST")</f>
        <v>REEL</v>
      </c>
      <c r="S3" s="1152" t="str">
        <f>+IF(VLOOKUP(S2,Parametres!$L$3:$N$14,3,0)="X","REEL","FORECAST")</f>
        <v>FORECAST</v>
      </c>
      <c r="T3" s="1148"/>
    </row>
    <row r="4" spans="1:24" s="1157" customFormat="1" ht="30" customHeight="1" thickBot="1">
      <c r="A4" s="1407" t="s">
        <v>2959</v>
      </c>
      <c r="B4" s="1407"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8"/>
      <c r="B5" s="1408"/>
      <c r="C5" s="1409" t="s">
        <v>2979</v>
      </c>
      <c r="D5" s="1410"/>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4" t="s">
        <v>2986</v>
      </c>
      <c r="D6" s="1246"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5" t="s">
        <v>57</v>
      </c>
      <c r="D7" s="1246"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5" t="s">
        <v>53</v>
      </c>
      <c r="D8" s="1246"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5" t="s">
        <v>2988</v>
      </c>
      <c r="D9" s="1246"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5" t="s">
        <v>2987</v>
      </c>
      <c r="D10" s="1246"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5" t="s">
        <v>2985</v>
      </c>
      <c r="D11" s="1246"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5" t="s">
        <v>2982</v>
      </c>
      <c r="D12" s="1246"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5" t="s">
        <v>2991</v>
      </c>
      <c r="D13" s="1246"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5" t="s">
        <v>2990</v>
      </c>
      <c r="D14" s="1246"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5" t="s">
        <v>2981</v>
      </c>
      <c r="D15" s="1246"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5"/>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5"/>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4"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5">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5">
        <v>9677.43</v>
      </c>
      <c r="F3" s="1216">
        <v>0</v>
      </c>
      <c r="G3" s="1213" t="s">
        <v>2922</v>
      </c>
      <c r="H3" s="1217">
        <v>472</v>
      </c>
      <c r="K3" s="1123" t="s">
        <v>2949</v>
      </c>
      <c r="L3" s="1390">
        <f>COUNT(E:E)</f>
        <v>103</v>
      </c>
    </row>
    <row r="4" spans="1:13">
      <c r="A4" s="1214" t="s">
        <v>3401</v>
      </c>
      <c r="B4" s="1214" t="s">
        <v>2933</v>
      </c>
      <c r="C4" s="1213" t="s">
        <v>3465</v>
      </c>
      <c r="D4" s="1213" t="s">
        <v>3402</v>
      </c>
      <c r="E4" s="1335">
        <v>29888.9</v>
      </c>
      <c r="F4" s="1216">
        <v>0</v>
      </c>
      <c r="G4" s="1213" t="s">
        <v>3403</v>
      </c>
      <c r="H4" s="1217">
        <v>43</v>
      </c>
    </row>
    <row r="5" spans="1:13">
      <c r="A5" s="1214" t="s">
        <v>3466</v>
      </c>
      <c r="B5" s="1214" t="s">
        <v>2931</v>
      </c>
      <c r="C5" s="1213" t="s">
        <v>3467</v>
      </c>
      <c r="D5" s="1213" t="s">
        <v>3468</v>
      </c>
      <c r="E5" s="1335">
        <v>8679</v>
      </c>
      <c r="F5" s="1216">
        <v>0</v>
      </c>
      <c r="G5" s="1213" t="s">
        <v>3469</v>
      </c>
      <c r="H5" s="1217">
        <v>25</v>
      </c>
      <c r="K5" s="1123" t="s">
        <v>3321</v>
      </c>
      <c r="L5" s="1391">
        <f>+L2/L3</f>
        <v>25995.88941747573</v>
      </c>
    </row>
    <row r="6" spans="1:13">
      <c r="A6" s="1214" t="s">
        <v>3470</v>
      </c>
      <c r="B6" s="1214" t="s">
        <v>2933</v>
      </c>
      <c r="C6" s="1213" t="s">
        <v>3471</v>
      </c>
      <c r="D6" s="1213" t="s">
        <v>3472</v>
      </c>
      <c r="E6" s="1335">
        <v>38915</v>
      </c>
      <c r="F6" s="1216">
        <v>0</v>
      </c>
      <c r="G6" s="1213" t="s">
        <v>3473</v>
      </c>
      <c r="H6" s="1217">
        <v>8</v>
      </c>
    </row>
    <row r="7" spans="1:13">
      <c r="A7" s="1214" t="s">
        <v>3280</v>
      </c>
      <c r="B7" s="1214" t="s">
        <v>2932</v>
      </c>
      <c r="C7" s="1213" t="s">
        <v>3355</v>
      </c>
      <c r="D7" s="1213" t="s">
        <v>3281</v>
      </c>
      <c r="E7" s="1335">
        <v>33876.480000000003</v>
      </c>
      <c r="F7" s="1216">
        <v>0</v>
      </c>
      <c r="G7" s="1213" t="s">
        <v>3282</v>
      </c>
      <c r="H7" s="1217">
        <v>74</v>
      </c>
    </row>
    <row r="8" spans="1:13">
      <c r="A8" s="1214" t="s">
        <v>3371</v>
      </c>
      <c r="B8" s="1214" t="s">
        <v>2933</v>
      </c>
      <c r="C8" s="1213" t="s">
        <v>3355</v>
      </c>
      <c r="D8" s="1213" t="s">
        <v>3281</v>
      </c>
      <c r="E8" s="1335">
        <v>47489.03</v>
      </c>
      <c r="F8" s="1216">
        <v>0</v>
      </c>
      <c r="G8" s="1213" t="s">
        <v>3372</v>
      </c>
      <c r="H8" s="1217">
        <v>57</v>
      </c>
    </row>
    <row r="9" spans="1:13">
      <c r="A9" s="1214" t="s">
        <v>3474</v>
      </c>
      <c r="B9" s="1214" t="s">
        <v>3354</v>
      </c>
      <c r="C9" s="1213" t="s">
        <v>3475</v>
      </c>
      <c r="D9" s="1213" t="s">
        <v>3281</v>
      </c>
      <c r="E9" s="1335">
        <v>21415</v>
      </c>
      <c r="F9" s="1216">
        <v>0</v>
      </c>
      <c r="G9" s="1213" t="s">
        <v>3476</v>
      </c>
      <c r="H9" s="1217">
        <v>10</v>
      </c>
    </row>
    <row r="10" spans="1:13">
      <c r="A10" s="1214" t="s">
        <v>3477</v>
      </c>
      <c r="B10" s="1214" t="s">
        <v>3278</v>
      </c>
      <c r="C10" s="1213" t="s">
        <v>3478</v>
      </c>
      <c r="D10" s="1213" t="s">
        <v>3479</v>
      </c>
      <c r="E10" s="1335">
        <v>3315</v>
      </c>
      <c r="F10" s="1216">
        <v>0</v>
      </c>
      <c r="G10" s="1213" t="s">
        <v>3480</v>
      </c>
      <c r="H10" s="1217">
        <v>17</v>
      </c>
    </row>
    <row r="11" spans="1:13">
      <c r="A11" s="1214" t="s">
        <v>3481</v>
      </c>
      <c r="B11" s="1214" t="s">
        <v>3482</v>
      </c>
      <c r="C11" s="1213" t="s">
        <v>3478</v>
      </c>
      <c r="D11" s="1213" t="s">
        <v>3483</v>
      </c>
      <c r="E11" s="1335">
        <v>1165</v>
      </c>
      <c r="F11" s="1216">
        <v>0</v>
      </c>
      <c r="G11" s="1213" t="s">
        <v>3484</v>
      </c>
      <c r="H11" s="1217">
        <v>15</v>
      </c>
    </row>
    <row r="12" spans="1:13">
      <c r="A12" s="1214" t="s">
        <v>3404</v>
      </c>
      <c r="B12" s="1214" t="s">
        <v>2939</v>
      </c>
      <c r="C12" s="1213" t="s">
        <v>3405</v>
      </c>
      <c r="D12" s="1213" t="s">
        <v>3485</v>
      </c>
      <c r="E12" s="1335">
        <v>20703.23</v>
      </c>
      <c r="F12" s="1216">
        <v>0</v>
      </c>
      <c r="G12" s="1213" t="s">
        <v>3406</v>
      </c>
      <c r="H12" s="1217">
        <v>42</v>
      </c>
    </row>
    <row r="13" spans="1:13">
      <c r="A13" s="1214" t="s">
        <v>3486</v>
      </c>
      <c r="B13" s="1214" t="s">
        <v>2933</v>
      </c>
      <c r="C13" s="1213" t="s">
        <v>3487</v>
      </c>
      <c r="D13" s="1213" t="s">
        <v>3488</v>
      </c>
      <c r="E13" s="1335">
        <v>12765</v>
      </c>
      <c r="F13" s="1216">
        <v>0</v>
      </c>
      <c r="G13" s="1213" t="s">
        <v>3489</v>
      </c>
      <c r="H13" s="1217">
        <v>11</v>
      </c>
    </row>
    <row r="14" spans="1:13">
      <c r="A14" s="1214" t="s">
        <v>3490</v>
      </c>
      <c r="B14" s="1214" t="s">
        <v>2933</v>
      </c>
      <c r="C14" s="1213" t="s">
        <v>3491</v>
      </c>
      <c r="D14" s="1213" t="s">
        <v>3289</v>
      </c>
      <c r="E14" s="1335">
        <v>36175</v>
      </c>
      <c r="F14" s="1216">
        <v>-31950</v>
      </c>
      <c r="G14" s="1213" t="s">
        <v>3492</v>
      </c>
      <c r="H14" s="1217">
        <v>37</v>
      </c>
    </row>
    <row r="15" spans="1:13">
      <c r="A15" s="1214" t="s">
        <v>3288</v>
      </c>
      <c r="B15" s="1214" t="s">
        <v>2936</v>
      </c>
      <c r="C15" s="1213" t="s">
        <v>3491</v>
      </c>
      <c r="D15" s="1213" t="s">
        <v>3289</v>
      </c>
      <c r="E15" s="1335">
        <v>42444.1</v>
      </c>
      <c r="F15" s="1216">
        <v>-37125</v>
      </c>
      <c r="G15" s="1213" t="s">
        <v>3290</v>
      </c>
      <c r="H15" s="1217">
        <v>80</v>
      </c>
    </row>
    <row r="16" spans="1:13">
      <c r="A16" s="1214" t="s">
        <v>3291</v>
      </c>
      <c r="B16" s="1214" t="s">
        <v>2932</v>
      </c>
      <c r="C16" s="1213" t="s">
        <v>3491</v>
      </c>
      <c r="D16" s="1213" t="s">
        <v>2900</v>
      </c>
      <c r="E16" s="1335">
        <v>31425.01</v>
      </c>
      <c r="F16" s="1216">
        <v>-22340</v>
      </c>
      <c r="G16" s="1213" t="s">
        <v>3292</v>
      </c>
      <c r="H16" s="1217">
        <v>86</v>
      </c>
    </row>
    <row r="17" spans="1:8">
      <c r="A17" s="1214" t="s">
        <v>3493</v>
      </c>
      <c r="B17" s="1214" t="s">
        <v>2932</v>
      </c>
      <c r="C17" s="1213" t="s">
        <v>3491</v>
      </c>
      <c r="D17" s="1213" t="s">
        <v>2900</v>
      </c>
      <c r="E17" s="1335">
        <v>37165</v>
      </c>
      <c r="F17" s="1216">
        <v>-33075</v>
      </c>
      <c r="G17" s="1213" t="s">
        <v>3494</v>
      </c>
      <c r="H17" s="1217">
        <v>9</v>
      </c>
    </row>
    <row r="18" spans="1:8">
      <c r="A18" s="1214" t="s">
        <v>3274</v>
      </c>
      <c r="B18" s="1214" t="s">
        <v>2932</v>
      </c>
      <c r="C18" s="1213" t="s">
        <v>3491</v>
      </c>
      <c r="D18" s="1213" t="s">
        <v>2900</v>
      </c>
      <c r="E18" s="1335">
        <v>38017.550000000003</v>
      </c>
      <c r="F18" s="1216">
        <v>0</v>
      </c>
      <c r="G18" s="1213" t="s">
        <v>3275</v>
      </c>
      <c r="H18" s="1217">
        <v>71</v>
      </c>
    </row>
    <row r="19" spans="1:8">
      <c r="A19" s="1214" t="s">
        <v>3356</v>
      </c>
      <c r="B19" s="1214" t="s">
        <v>2932</v>
      </c>
      <c r="C19" s="1213" t="s">
        <v>3491</v>
      </c>
      <c r="D19" s="1213" t="s">
        <v>2900</v>
      </c>
      <c r="E19" s="1335">
        <v>38359.620000000003</v>
      </c>
      <c r="F19" s="1216">
        <v>-35719.269999999997</v>
      </c>
      <c r="G19" s="1213" t="s">
        <v>3357</v>
      </c>
      <c r="H19" s="1217">
        <v>70</v>
      </c>
    </row>
    <row r="20" spans="1:8">
      <c r="A20" s="1214" t="s">
        <v>3393</v>
      </c>
      <c r="B20" s="1214" t="s">
        <v>2932</v>
      </c>
      <c r="C20" s="1213" t="s">
        <v>3491</v>
      </c>
      <c r="D20" s="1213" t="s">
        <v>2900</v>
      </c>
      <c r="E20" s="1335">
        <v>42109.05</v>
      </c>
      <c r="F20" s="1216">
        <v>-35100</v>
      </c>
      <c r="G20" s="1213" t="s">
        <v>3394</v>
      </c>
      <c r="H20" s="1217">
        <v>45</v>
      </c>
    </row>
    <row r="21" spans="1:8">
      <c r="A21" s="1214" t="s">
        <v>3256</v>
      </c>
      <c r="B21" s="1214" t="s">
        <v>2933</v>
      </c>
      <c r="C21" s="1213" t="s">
        <v>3491</v>
      </c>
      <c r="D21" s="1213" t="s">
        <v>2900</v>
      </c>
      <c r="E21" s="1335">
        <v>39067.93</v>
      </c>
      <c r="F21" s="1216">
        <v>-28243.18</v>
      </c>
      <c r="G21" s="1213" t="s">
        <v>3257</v>
      </c>
      <c r="H21" s="1217">
        <v>106</v>
      </c>
    </row>
    <row r="22" spans="1:8">
      <c r="A22" s="1214" t="s">
        <v>3495</v>
      </c>
      <c r="B22" s="1214" t="s">
        <v>2933</v>
      </c>
      <c r="C22" s="1213" t="s">
        <v>3491</v>
      </c>
      <c r="D22" s="1213" t="s">
        <v>2900</v>
      </c>
      <c r="E22" s="1335">
        <v>44415</v>
      </c>
      <c r="F22" s="1335">
        <v>-36984.92</v>
      </c>
      <c r="G22" s="1213" t="s">
        <v>3496</v>
      </c>
      <c r="H22" s="1217">
        <v>29</v>
      </c>
    </row>
    <row r="23" spans="1:8">
      <c r="A23" s="1214" t="s">
        <v>3276</v>
      </c>
      <c r="B23" s="1214" t="s">
        <v>2933</v>
      </c>
      <c r="C23" s="1213" t="s">
        <v>3491</v>
      </c>
      <c r="D23" s="1213" t="s">
        <v>2900</v>
      </c>
      <c r="E23" s="1335">
        <v>46066.37</v>
      </c>
      <c r="F23" s="1335">
        <v>-32985.120000000003</v>
      </c>
      <c r="G23" s="1213" t="s">
        <v>3277</v>
      </c>
      <c r="H23" s="1217">
        <v>71</v>
      </c>
    </row>
    <row r="24" spans="1:8">
      <c r="A24" s="1214" t="s">
        <v>3397</v>
      </c>
      <c r="B24" s="1214" t="s">
        <v>2926</v>
      </c>
      <c r="C24" s="1213" t="s">
        <v>3491</v>
      </c>
      <c r="D24" s="1213" t="s">
        <v>2900</v>
      </c>
      <c r="E24" s="1335">
        <v>35591.1</v>
      </c>
      <c r="F24" s="1216">
        <v>0</v>
      </c>
      <c r="G24" s="1213" t="s">
        <v>3398</v>
      </c>
      <c r="H24" s="1217">
        <v>38</v>
      </c>
    </row>
    <row r="25" spans="1:8">
      <c r="A25" s="1214" t="s">
        <v>3497</v>
      </c>
      <c r="B25" s="1214" t="s">
        <v>2936</v>
      </c>
      <c r="C25" s="1213" t="s">
        <v>3491</v>
      </c>
      <c r="D25" s="1213" t="s">
        <v>3376</v>
      </c>
      <c r="E25" s="1335">
        <v>51105.45</v>
      </c>
      <c r="F25" s="1216">
        <v>-51139.96</v>
      </c>
      <c r="G25" s="1213" t="s">
        <v>3498</v>
      </c>
      <c r="H25" s="1217">
        <v>154</v>
      </c>
    </row>
    <row r="26" spans="1:8">
      <c r="A26" s="1214" t="s">
        <v>3375</v>
      </c>
      <c r="B26" s="1214" t="s">
        <v>2926</v>
      </c>
      <c r="C26" s="1213" t="s">
        <v>3491</v>
      </c>
      <c r="D26" s="1213" t="s">
        <v>3376</v>
      </c>
      <c r="E26" s="1335">
        <v>51390</v>
      </c>
      <c r="F26" s="1216">
        <v>-45450</v>
      </c>
      <c r="G26" s="1213" t="s">
        <v>3377</v>
      </c>
      <c r="H26" s="1217">
        <v>56</v>
      </c>
    </row>
    <row r="27" spans="1:8">
      <c r="A27" s="1214" t="s">
        <v>3499</v>
      </c>
      <c r="B27" s="1214" t="s">
        <v>2933</v>
      </c>
      <c r="C27" s="1213" t="s">
        <v>3491</v>
      </c>
      <c r="D27" s="1213" t="s">
        <v>3500</v>
      </c>
      <c r="E27" s="1335">
        <v>35415</v>
      </c>
      <c r="F27" s="1216">
        <v>0</v>
      </c>
      <c r="G27" s="1213" t="s">
        <v>3501</v>
      </c>
      <c r="H27" s="1217">
        <v>3</v>
      </c>
    </row>
    <row r="28" spans="1:8">
      <c r="A28" s="1214" t="s">
        <v>3502</v>
      </c>
      <c r="B28" s="1214" t="s">
        <v>2934</v>
      </c>
      <c r="C28" s="1213" t="s">
        <v>3491</v>
      </c>
      <c r="D28" s="1213" t="s">
        <v>3503</v>
      </c>
      <c r="E28" s="1335">
        <v>19070</v>
      </c>
      <c r="F28" s="1216">
        <v>-16560</v>
      </c>
      <c r="G28" s="1213" t="s">
        <v>3504</v>
      </c>
      <c r="H28" s="1217">
        <v>15</v>
      </c>
    </row>
    <row r="29" spans="1:8">
      <c r="A29" s="1214" t="s">
        <v>3358</v>
      </c>
      <c r="B29" s="1214" t="s">
        <v>2935</v>
      </c>
      <c r="C29" s="1213" t="s">
        <v>3491</v>
      </c>
      <c r="D29" s="1213" t="s">
        <v>2918</v>
      </c>
      <c r="E29" s="1335">
        <v>12468.02</v>
      </c>
      <c r="F29" s="1335">
        <v>-10125</v>
      </c>
      <c r="G29" s="1213" t="s">
        <v>3359</v>
      </c>
      <c r="H29" s="1217">
        <v>66</v>
      </c>
    </row>
    <row r="30" spans="1:8">
      <c r="A30" s="1214" t="s">
        <v>3505</v>
      </c>
      <c r="B30" s="1214" t="s">
        <v>2935</v>
      </c>
      <c r="C30" s="1213" t="s">
        <v>3491</v>
      </c>
      <c r="D30" s="1213" t="s">
        <v>2918</v>
      </c>
      <c r="E30" s="1335">
        <v>14170</v>
      </c>
      <c r="F30" s="1216">
        <v>-12320.39</v>
      </c>
      <c r="G30" s="1213" t="s">
        <v>3506</v>
      </c>
      <c r="H30" s="1217">
        <v>9</v>
      </c>
    </row>
    <row r="31" spans="1:8">
      <c r="A31" s="1214" t="s">
        <v>3507</v>
      </c>
      <c r="B31" s="1214" t="s">
        <v>2932</v>
      </c>
      <c r="C31" s="1213" t="s">
        <v>3491</v>
      </c>
      <c r="D31" s="1213" t="s">
        <v>2918</v>
      </c>
      <c r="E31" s="1335">
        <v>14250</v>
      </c>
      <c r="F31" s="1216">
        <v>0</v>
      </c>
      <c r="G31" s="1213" t="s">
        <v>3508</v>
      </c>
      <c r="H31" s="1217">
        <v>2</v>
      </c>
    </row>
    <row r="32" spans="1:8">
      <c r="A32" s="1214" t="s">
        <v>3509</v>
      </c>
      <c r="B32" s="1214" t="s">
        <v>2932</v>
      </c>
      <c r="C32" s="1213" t="s">
        <v>3491</v>
      </c>
      <c r="D32" s="1213" t="s">
        <v>2918</v>
      </c>
      <c r="E32" s="1335">
        <v>14665</v>
      </c>
      <c r="F32" s="1216">
        <v>-11373</v>
      </c>
      <c r="G32" s="1213" t="s">
        <v>3510</v>
      </c>
      <c r="H32" s="1217">
        <v>11</v>
      </c>
    </row>
    <row r="33" spans="1:8">
      <c r="A33" s="1214" t="s">
        <v>3511</v>
      </c>
      <c r="B33" s="1214" t="s">
        <v>2932</v>
      </c>
      <c r="C33" s="1213" t="s">
        <v>3491</v>
      </c>
      <c r="D33" s="1213" t="s">
        <v>2918</v>
      </c>
      <c r="E33" s="1335">
        <v>17658.7</v>
      </c>
      <c r="F33" s="1216">
        <v>-10926</v>
      </c>
      <c r="G33" s="1213" t="s">
        <v>3512</v>
      </c>
      <c r="H33" s="1217">
        <v>25</v>
      </c>
    </row>
    <row r="34" spans="1:8">
      <c r="A34" s="1214" t="s">
        <v>3513</v>
      </c>
      <c r="B34" s="1214" t="s">
        <v>2933</v>
      </c>
      <c r="C34" s="1213" t="s">
        <v>3491</v>
      </c>
      <c r="D34" s="1213" t="s">
        <v>2918</v>
      </c>
      <c r="E34" s="1335">
        <v>21670</v>
      </c>
      <c r="F34" s="1216">
        <v>-14978.8</v>
      </c>
      <c r="G34" s="1213" t="s">
        <v>3514</v>
      </c>
      <c r="H34" s="1217">
        <v>17</v>
      </c>
    </row>
    <row r="35" spans="1:8">
      <c r="A35" s="1214" t="s">
        <v>3515</v>
      </c>
      <c r="B35" s="1214" t="s">
        <v>2926</v>
      </c>
      <c r="C35" s="1213" t="s">
        <v>3491</v>
      </c>
      <c r="D35" s="1213" t="s">
        <v>2918</v>
      </c>
      <c r="E35" s="1335">
        <v>25915</v>
      </c>
      <c r="F35" s="1216">
        <v>0</v>
      </c>
      <c r="G35" s="1213" t="s">
        <v>3516</v>
      </c>
      <c r="H35" s="1217">
        <v>3</v>
      </c>
    </row>
    <row r="36" spans="1:8">
      <c r="A36" s="1214" t="s">
        <v>3364</v>
      </c>
      <c r="B36" s="1214" t="s">
        <v>2939</v>
      </c>
      <c r="C36" s="1213" t="s">
        <v>3491</v>
      </c>
      <c r="D36" s="1213" t="s">
        <v>3365</v>
      </c>
      <c r="E36" s="1335">
        <v>12669.53</v>
      </c>
      <c r="F36" s="1335">
        <v>0</v>
      </c>
      <c r="G36" s="1213" t="s">
        <v>3366</v>
      </c>
      <c r="H36" s="1217">
        <v>60</v>
      </c>
    </row>
    <row r="37" spans="1:8">
      <c r="A37" s="1214" t="s">
        <v>2937</v>
      </c>
      <c r="B37" s="1214" t="s">
        <v>2932</v>
      </c>
      <c r="C37" s="1213" t="s">
        <v>3491</v>
      </c>
      <c r="D37" s="1213" t="s">
        <v>2925</v>
      </c>
      <c r="E37" s="1335">
        <v>22793.59</v>
      </c>
      <c r="F37" s="1335">
        <v>0</v>
      </c>
      <c r="G37" s="1213" t="s">
        <v>2938</v>
      </c>
      <c r="H37" s="1217">
        <v>238</v>
      </c>
    </row>
    <row r="38" spans="1:8">
      <c r="A38" s="1214" t="s">
        <v>3517</v>
      </c>
      <c r="B38" s="1214" t="s">
        <v>2933</v>
      </c>
      <c r="C38" s="1213" t="s">
        <v>3491</v>
      </c>
      <c r="D38" s="1213" t="s">
        <v>2925</v>
      </c>
      <c r="E38" s="1335">
        <v>18735.53</v>
      </c>
      <c r="F38" s="1335">
        <v>-17601</v>
      </c>
      <c r="G38" s="1213" t="s">
        <v>3518</v>
      </c>
      <c r="H38" s="1217">
        <v>10</v>
      </c>
    </row>
    <row r="39" spans="1:8">
      <c r="A39" s="1214" t="s">
        <v>3261</v>
      </c>
      <c r="B39" s="1214" t="s">
        <v>2933</v>
      </c>
      <c r="C39" s="1213" t="s">
        <v>3491</v>
      </c>
      <c r="D39" s="1213" t="s">
        <v>2925</v>
      </c>
      <c r="E39" s="1335">
        <v>31675.93</v>
      </c>
      <c r="F39" s="1216">
        <v>-27450</v>
      </c>
      <c r="G39" s="1213" t="s">
        <v>3262</v>
      </c>
      <c r="H39" s="1217">
        <v>127</v>
      </c>
    </row>
    <row r="40" spans="1:8">
      <c r="A40" s="1214" t="s">
        <v>3519</v>
      </c>
      <c r="B40" s="1214" t="s">
        <v>2939</v>
      </c>
      <c r="C40" s="1213" t="s">
        <v>3491</v>
      </c>
      <c r="D40" s="1213" t="s">
        <v>2923</v>
      </c>
      <c r="E40" s="1335">
        <v>17170</v>
      </c>
      <c r="F40" s="1216">
        <v>-14850</v>
      </c>
      <c r="G40" s="1213" t="s">
        <v>3520</v>
      </c>
      <c r="H40" s="1217">
        <v>7</v>
      </c>
    </row>
    <row r="41" spans="1:8">
      <c r="A41" s="1214" t="s">
        <v>3521</v>
      </c>
      <c r="B41" s="1214" t="s">
        <v>2939</v>
      </c>
      <c r="C41" s="1213" t="s">
        <v>3491</v>
      </c>
      <c r="D41" s="1213" t="s">
        <v>2923</v>
      </c>
      <c r="E41" s="1335">
        <v>21239.53</v>
      </c>
      <c r="F41" s="1216">
        <v>0</v>
      </c>
      <c r="G41" s="1213" t="s">
        <v>3522</v>
      </c>
      <c r="H41" s="1217">
        <v>15</v>
      </c>
    </row>
    <row r="42" spans="1:8">
      <c r="A42" s="1214" t="s">
        <v>3407</v>
      </c>
      <c r="B42" s="1214" t="s">
        <v>2934</v>
      </c>
      <c r="C42" s="1213" t="s">
        <v>3491</v>
      </c>
      <c r="D42" s="1213" t="s">
        <v>2923</v>
      </c>
      <c r="E42" s="1335">
        <v>22637.73</v>
      </c>
      <c r="F42" s="1216">
        <v>-19575</v>
      </c>
      <c r="G42" s="1213" t="s">
        <v>3408</v>
      </c>
      <c r="H42" s="1217">
        <v>42</v>
      </c>
    </row>
    <row r="43" spans="1:8">
      <c r="A43" s="1214" t="s">
        <v>3523</v>
      </c>
      <c r="B43" s="1214" t="s">
        <v>2933</v>
      </c>
      <c r="C43" s="1213" t="s">
        <v>3491</v>
      </c>
      <c r="D43" s="1213" t="s">
        <v>2923</v>
      </c>
      <c r="E43" s="1335">
        <v>30139.83</v>
      </c>
      <c r="F43" s="1216">
        <v>-26100</v>
      </c>
      <c r="G43" s="1213" t="s">
        <v>3524</v>
      </c>
      <c r="H43" s="1217">
        <v>14</v>
      </c>
    </row>
    <row r="44" spans="1:8">
      <c r="A44" s="1214" t="s">
        <v>3525</v>
      </c>
      <c r="B44" s="1214" t="s">
        <v>2933</v>
      </c>
      <c r="C44" s="1213" t="s">
        <v>3491</v>
      </c>
      <c r="D44" s="1213" t="s">
        <v>2923</v>
      </c>
      <c r="E44" s="1335">
        <v>32170</v>
      </c>
      <c r="F44" s="1216">
        <v>-28350</v>
      </c>
      <c r="G44" s="1213" t="s">
        <v>3526</v>
      </c>
      <c r="H44" s="1217">
        <v>7</v>
      </c>
    </row>
    <row r="45" spans="1:8">
      <c r="A45" s="1214" t="s">
        <v>3527</v>
      </c>
      <c r="B45" s="1214" t="s">
        <v>2926</v>
      </c>
      <c r="C45" s="1213" t="s">
        <v>3491</v>
      </c>
      <c r="D45" s="1213" t="s">
        <v>2923</v>
      </c>
      <c r="E45" s="1335">
        <v>38636.11</v>
      </c>
      <c r="F45" s="1216">
        <v>-33525</v>
      </c>
      <c r="G45" s="1213" t="s">
        <v>3528</v>
      </c>
      <c r="H45" s="1217">
        <v>37</v>
      </c>
    </row>
    <row r="46" spans="1:8">
      <c r="A46" s="1214" t="s">
        <v>3529</v>
      </c>
      <c r="B46" s="1214" t="s">
        <v>2932</v>
      </c>
      <c r="C46" s="1213" t="s">
        <v>3491</v>
      </c>
      <c r="D46" s="1213" t="s">
        <v>2948</v>
      </c>
      <c r="E46" s="1335">
        <v>35670</v>
      </c>
      <c r="F46" s="1335">
        <v>-21456</v>
      </c>
      <c r="G46" s="1213" t="s">
        <v>3530</v>
      </c>
      <c r="H46" s="1217">
        <v>15</v>
      </c>
    </row>
    <row r="47" spans="1:8">
      <c r="A47" s="1214" t="s">
        <v>3293</v>
      </c>
      <c r="B47" s="1214" t="s">
        <v>2932</v>
      </c>
      <c r="C47" s="1213" t="s">
        <v>3491</v>
      </c>
      <c r="D47" s="1213" t="s">
        <v>2948</v>
      </c>
      <c r="E47" s="1335">
        <v>38040.32</v>
      </c>
      <c r="F47" s="1216">
        <v>-32617.9</v>
      </c>
      <c r="G47" s="1213" t="s">
        <v>3294</v>
      </c>
      <c r="H47" s="1217">
        <v>87</v>
      </c>
    </row>
    <row r="48" spans="1:8">
      <c r="A48" s="1214" t="s">
        <v>3387</v>
      </c>
      <c r="B48" s="1214" t="s">
        <v>2932</v>
      </c>
      <c r="C48" s="1213" t="s">
        <v>3491</v>
      </c>
      <c r="D48" s="1213" t="s">
        <v>2948</v>
      </c>
      <c r="E48" s="1335">
        <v>38398.94</v>
      </c>
      <c r="F48" s="1216">
        <v>-20191</v>
      </c>
      <c r="G48" s="1213" t="s">
        <v>3388</v>
      </c>
      <c r="H48" s="1217">
        <v>49</v>
      </c>
    </row>
    <row r="49" spans="1:8">
      <c r="A49" s="1214" t="s">
        <v>3369</v>
      </c>
      <c r="B49" s="1214" t="s">
        <v>2932</v>
      </c>
      <c r="C49" s="1213" t="s">
        <v>3491</v>
      </c>
      <c r="D49" s="1213" t="s">
        <v>2948</v>
      </c>
      <c r="E49" s="1335">
        <v>40700</v>
      </c>
      <c r="F49" s="1216">
        <v>-35550</v>
      </c>
      <c r="G49" s="1213" t="s">
        <v>3370</v>
      </c>
      <c r="H49" s="1217">
        <v>58</v>
      </c>
    </row>
    <row r="50" spans="1:8">
      <c r="A50" s="1214" t="s">
        <v>3531</v>
      </c>
      <c r="B50" s="1214" t="s">
        <v>2927</v>
      </c>
      <c r="C50" s="1213" t="s">
        <v>3491</v>
      </c>
      <c r="D50" s="1213" t="s">
        <v>2948</v>
      </c>
      <c r="E50" s="1335">
        <v>56043.95</v>
      </c>
      <c r="F50" s="1216">
        <v>0</v>
      </c>
      <c r="G50" s="1213" t="s">
        <v>3532</v>
      </c>
      <c r="H50" s="1217">
        <v>3</v>
      </c>
    </row>
    <row r="51" spans="1:8">
      <c r="A51" s="1214" t="s">
        <v>3533</v>
      </c>
      <c r="B51" s="1214" t="s">
        <v>2932</v>
      </c>
      <c r="C51" s="1213" t="s">
        <v>3491</v>
      </c>
      <c r="D51" s="1213" t="s">
        <v>3383</v>
      </c>
      <c r="E51" s="1335">
        <v>21175</v>
      </c>
      <c r="F51" s="1216">
        <v>-13460</v>
      </c>
      <c r="G51" s="1213" t="s">
        <v>3534</v>
      </c>
      <c r="H51" s="1217">
        <v>14</v>
      </c>
    </row>
    <row r="52" spans="1:8">
      <c r="A52" s="1214" t="s">
        <v>3382</v>
      </c>
      <c r="B52" s="1214" t="s">
        <v>2933</v>
      </c>
      <c r="C52" s="1213" t="s">
        <v>3491</v>
      </c>
      <c r="D52" s="1213" t="s">
        <v>3383</v>
      </c>
      <c r="E52" s="1335">
        <v>26499.58</v>
      </c>
      <c r="F52" s="1216">
        <v>-18565.099999999999</v>
      </c>
      <c r="G52" s="1213" t="s">
        <v>3384</v>
      </c>
      <c r="H52" s="1217">
        <v>50</v>
      </c>
    </row>
    <row r="53" spans="1:8">
      <c r="A53" s="1214" t="s">
        <v>3285</v>
      </c>
      <c r="B53" s="1214" t="s">
        <v>3258</v>
      </c>
      <c r="C53" s="1213" t="s">
        <v>3491</v>
      </c>
      <c r="D53" s="1213" t="s">
        <v>3286</v>
      </c>
      <c r="E53" s="1335">
        <v>10455.65</v>
      </c>
      <c r="F53" s="1216">
        <v>0</v>
      </c>
      <c r="G53" s="1213" t="s">
        <v>3287</v>
      </c>
      <c r="H53" s="1217">
        <v>80</v>
      </c>
    </row>
    <row r="54" spans="1:8">
      <c r="A54" s="1214" t="s">
        <v>3535</v>
      </c>
      <c r="B54" s="1214" t="s">
        <v>2933</v>
      </c>
      <c r="C54" s="1213" t="s">
        <v>3491</v>
      </c>
      <c r="D54" s="1213" t="s">
        <v>2919</v>
      </c>
      <c r="E54" s="1335">
        <v>18316.03</v>
      </c>
      <c r="F54" s="1335">
        <v>-15564.51</v>
      </c>
      <c r="G54" s="1213" t="s">
        <v>3536</v>
      </c>
      <c r="H54" s="1217">
        <v>28</v>
      </c>
    </row>
    <row r="55" spans="1:8">
      <c r="A55" s="1214" t="s">
        <v>3537</v>
      </c>
      <c r="B55" s="1214" t="s">
        <v>2933</v>
      </c>
      <c r="C55" s="1213" t="s">
        <v>3491</v>
      </c>
      <c r="D55" s="1213" t="s">
        <v>2919</v>
      </c>
      <c r="E55" s="1335">
        <v>19670</v>
      </c>
      <c r="F55" s="1216">
        <v>-17100</v>
      </c>
      <c r="G55" s="1213" t="s">
        <v>3538</v>
      </c>
      <c r="H55" s="1217">
        <v>7</v>
      </c>
    </row>
    <row r="56" spans="1:8">
      <c r="A56" s="1214" t="s">
        <v>3539</v>
      </c>
      <c r="B56" s="1214" t="s">
        <v>2933</v>
      </c>
      <c r="C56" s="1213" t="s">
        <v>3491</v>
      </c>
      <c r="D56" s="1213" t="s">
        <v>2919</v>
      </c>
      <c r="E56" s="1335">
        <v>21675</v>
      </c>
      <c r="F56" s="1335">
        <v>-16843.55</v>
      </c>
      <c r="G56" s="1213" t="s">
        <v>3540</v>
      </c>
      <c r="H56" s="1217">
        <v>14</v>
      </c>
    </row>
    <row r="57" spans="1:8">
      <c r="A57" s="1214" t="s">
        <v>3541</v>
      </c>
      <c r="B57" s="1214" t="s">
        <v>2933</v>
      </c>
      <c r="C57" s="1213" t="s">
        <v>3491</v>
      </c>
      <c r="D57" s="1213" t="s">
        <v>2919</v>
      </c>
      <c r="E57" s="1335">
        <v>22170</v>
      </c>
      <c r="F57" s="1335">
        <v>-14120.56</v>
      </c>
      <c r="G57" s="1213" t="s">
        <v>3542</v>
      </c>
      <c r="H57" s="1217">
        <v>15</v>
      </c>
    </row>
    <row r="58" spans="1:8">
      <c r="A58" s="1214" t="s">
        <v>3543</v>
      </c>
      <c r="B58" s="1214" t="s">
        <v>2933</v>
      </c>
      <c r="C58" s="1213" t="s">
        <v>3491</v>
      </c>
      <c r="D58" s="1213" t="s">
        <v>2919</v>
      </c>
      <c r="E58" s="1335">
        <v>22670</v>
      </c>
      <c r="F58" s="1216">
        <v>-19070.88</v>
      </c>
      <c r="G58" s="1213" t="s">
        <v>3544</v>
      </c>
      <c r="H58" s="1217">
        <v>14</v>
      </c>
    </row>
    <row r="59" spans="1:8">
      <c r="A59" s="1214" t="s">
        <v>3545</v>
      </c>
      <c r="B59" s="1214" t="s">
        <v>2933</v>
      </c>
      <c r="C59" s="1213" t="s">
        <v>3491</v>
      </c>
      <c r="D59" s="1213" t="s">
        <v>2919</v>
      </c>
      <c r="E59" s="1335">
        <v>23475</v>
      </c>
      <c r="F59" s="1216">
        <v>-14612</v>
      </c>
      <c r="G59" s="1213" t="s">
        <v>3546</v>
      </c>
      <c r="H59" s="1217">
        <v>14</v>
      </c>
    </row>
    <row r="60" spans="1:8">
      <c r="A60" s="1214" t="s">
        <v>3389</v>
      </c>
      <c r="B60" s="1214" t="s">
        <v>2933</v>
      </c>
      <c r="C60" s="1213" t="s">
        <v>3491</v>
      </c>
      <c r="D60" s="1213" t="s">
        <v>2919</v>
      </c>
      <c r="E60" s="1335">
        <v>24825.27</v>
      </c>
      <c r="F60" s="1335">
        <v>-19620</v>
      </c>
      <c r="G60" s="1213" t="s">
        <v>3390</v>
      </c>
      <c r="H60" s="1217">
        <v>49</v>
      </c>
    </row>
    <row r="61" spans="1:8">
      <c r="A61" s="1214" t="s">
        <v>3547</v>
      </c>
      <c r="B61" s="1214" t="s">
        <v>2936</v>
      </c>
      <c r="C61" s="1213" t="s">
        <v>3491</v>
      </c>
      <c r="D61" s="1213" t="s">
        <v>3548</v>
      </c>
      <c r="E61" s="1335">
        <v>24220.58</v>
      </c>
      <c r="F61" s="1335">
        <v>-25533.11</v>
      </c>
      <c r="G61" s="1213" t="s">
        <v>3549</v>
      </c>
      <c r="H61" s="1217">
        <v>15</v>
      </c>
    </row>
    <row r="62" spans="1:8">
      <c r="A62" s="1214" t="s">
        <v>3550</v>
      </c>
      <c r="B62" s="1214" t="s">
        <v>3279</v>
      </c>
      <c r="C62" s="1213" t="s">
        <v>3491</v>
      </c>
      <c r="D62" s="1213" t="s">
        <v>2924</v>
      </c>
      <c r="E62" s="1335">
        <v>2165</v>
      </c>
      <c r="F62" s="1216">
        <v>0</v>
      </c>
      <c r="G62" s="1213" t="s">
        <v>3551</v>
      </c>
      <c r="H62" s="1217">
        <v>16</v>
      </c>
    </row>
    <row r="63" spans="1:8">
      <c r="A63" s="1214" t="s">
        <v>3552</v>
      </c>
      <c r="B63" s="1214" t="s">
        <v>3258</v>
      </c>
      <c r="C63" s="1213" t="s">
        <v>3491</v>
      </c>
      <c r="D63" s="1213" t="s">
        <v>2924</v>
      </c>
      <c r="E63" s="1335">
        <v>8990.8799999999992</v>
      </c>
      <c r="F63" s="1335">
        <v>0</v>
      </c>
      <c r="G63" s="1213" t="s">
        <v>3553</v>
      </c>
      <c r="H63" s="1217">
        <v>39</v>
      </c>
    </row>
    <row r="64" spans="1:8">
      <c r="A64" s="1214" t="s">
        <v>3554</v>
      </c>
      <c r="B64" s="1214" t="s">
        <v>2935</v>
      </c>
      <c r="C64" s="1213" t="s">
        <v>3491</v>
      </c>
      <c r="D64" s="1213" t="s">
        <v>2924</v>
      </c>
      <c r="E64" s="1335">
        <v>10675</v>
      </c>
      <c r="F64" s="1335">
        <v>0</v>
      </c>
      <c r="G64" s="1213" t="s">
        <v>3555</v>
      </c>
      <c r="H64" s="1217">
        <v>16</v>
      </c>
    </row>
    <row r="65" spans="1:13">
      <c r="A65" s="1214" t="s">
        <v>3378</v>
      </c>
      <c r="B65" s="1214" t="s">
        <v>2935</v>
      </c>
      <c r="C65" s="1213" t="s">
        <v>3491</v>
      </c>
      <c r="D65" s="1213" t="s">
        <v>2924</v>
      </c>
      <c r="E65" s="1335">
        <v>14127.93</v>
      </c>
      <c r="F65" s="1335">
        <v>0</v>
      </c>
      <c r="G65" s="1213" t="s">
        <v>3379</v>
      </c>
      <c r="H65" s="1217">
        <v>53</v>
      </c>
    </row>
    <row r="66" spans="1:13" s="1227" customFormat="1">
      <c r="A66" s="1214" t="s">
        <v>3391</v>
      </c>
      <c r="B66" s="1214" t="s">
        <v>2934</v>
      </c>
      <c r="C66" s="1213" t="s">
        <v>3491</v>
      </c>
      <c r="D66" s="1213" t="s">
        <v>2924</v>
      </c>
      <c r="E66" s="1335">
        <v>13261.68</v>
      </c>
      <c r="F66" s="1335">
        <v>0</v>
      </c>
      <c r="G66" s="1213" t="s">
        <v>3392</v>
      </c>
      <c r="H66" s="1217">
        <v>46</v>
      </c>
      <c r="I66" s="1226"/>
      <c r="J66" s="1226"/>
      <c r="K66" s="1226"/>
      <c r="L66" s="1226"/>
      <c r="M66" s="1226"/>
    </row>
    <row r="67" spans="1:13" s="1227" customFormat="1">
      <c r="A67" s="1214" t="s">
        <v>3373</v>
      </c>
      <c r="B67" s="1214" t="s">
        <v>2939</v>
      </c>
      <c r="C67" s="1213" t="s">
        <v>3491</v>
      </c>
      <c r="D67" s="1213" t="s">
        <v>2999</v>
      </c>
      <c r="E67" s="1335">
        <v>13661.56</v>
      </c>
      <c r="F67" s="1335">
        <v>-10800</v>
      </c>
      <c r="G67" s="1213" t="s">
        <v>3374</v>
      </c>
      <c r="H67" s="1217">
        <v>56</v>
      </c>
      <c r="I67" s="1226"/>
      <c r="J67" s="1226"/>
      <c r="K67" s="1226"/>
      <c r="L67" s="1226"/>
      <c r="M67" s="1226"/>
    </row>
    <row r="68" spans="1:13" s="1227" customFormat="1">
      <c r="A68" s="1214" t="s">
        <v>3367</v>
      </c>
      <c r="B68" s="1214" t="s">
        <v>2935</v>
      </c>
      <c r="C68" s="1213" t="s">
        <v>3491</v>
      </c>
      <c r="D68" s="1213" t="s">
        <v>2999</v>
      </c>
      <c r="E68" s="1335">
        <v>20382.919999999998</v>
      </c>
      <c r="F68" s="1335">
        <v>0</v>
      </c>
      <c r="G68" s="1213" t="s">
        <v>3368</v>
      </c>
      <c r="H68" s="1217">
        <v>59</v>
      </c>
      <c r="I68" s="1226"/>
      <c r="J68" s="1226"/>
      <c r="K68" s="1226"/>
      <c r="L68" s="1226"/>
      <c r="M68" s="1226"/>
    </row>
    <row r="69" spans="1:13" s="1227" customFormat="1">
      <c r="A69" s="1214" t="s">
        <v>3259</v>
      </c>
      <c r="B69" s="1214" t="s">
        <v>2935</v>
      </c>
      <c r="C69" s="1213" t="s">
        <v>3491</v>
      </c>
      <c r="D69" s="1213" t="s">
        <v>2999</v>
      </c>
      <c r="E69" s="1335">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5">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5">
        <v>13420</v>
      </c>
      <c r="F71" s="1335">
        <v>0</v>
      </c>
      <c r="G71" s="1213" t="s">
        <v>3559</v>
      </c>
      <c r="H71" s="1217">
        <v>37</v>
      </c>
      <c r="I71" s="1226"/>
      <c r="J71" s="1226"/>
      <c r="K71" s="1226"/>
      <c r="L71" s="1226"/>
      <c r="M71" s="1226"/>
    </row>
    <row r="72" spans="1:13" s="1227" customFormat="1">
      <c r="A72" s="1214" t="s">
        <v>3283</v>
      </c>
      <c r="B72" s="1214" t="s">
        <v>3258</v>
      </c>
      <c r="C72" s="1213" t="s">
        <v>3491</v>
      </c>
      <c r="D72" s="1213" t="s">
        <v>2901</v>
      </c>
      <c r="E72" s="1335">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5">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89" t="s">
        <v>3491</v>
      </c>
      <c r="D94" s="1389" t="s">
        <v>2901</v>
      </c>
      <c r="E94" s="1221">
        <v>27800</v>
      </c>
      <c r="F94" s="1221">
        <v>-24300</v>
      </c>
      <c r="G94" s="1220" t="s">
        <v>3396</v>
      </c>
      <c r="H94" s="1220">
        <v>45</v>
      </c>
    </row>
    <row r="95" spans="1:8">
      <c r="A95" s="1220" t="s">
        <v>3584</v>
      </c>
      <c r="B95" s="1220" t="s">
        <v>2933</v>
      </c>
      <c r="C95" s="1389" t="s">
        <v>3491</v>
      </c>
      <c r="D95" s="1389" t="s">
        <v>2901</v>
      </c>
      <c r="E95" s="1221">
        <v>29282.18</v>
      </c>
      <c r="F95" s="1221">
        <v>-23985</v>
      </c>
      <c r="G95" s="1220" t="s">
        <v>3585</v>
      </c>
      <c r="H95" s="1220">
        <v>37</v>
      </c>
    </row>
    <row r="96" spans="1:8">
      <c r="A96" s="1220" t="s">
        <v>3586</v>
      </c>
      <c r="B96" s="1220" t="s">
        <v>2933</v>
      </c>
      <c r="C96" s="1389" t="s">
        <v>3491</v>
      </c>
      <c r="D96" s="1389" t="s">
        <v>2901</v>
      </c>
      <c r="E96" s="1221">
        <v>30456.31</v>
      </c>
      <c r="F96" s="1221">
        <v>-24553.24</v>
      </c>
      <c r="G96" s="1220" t="s">
        <v>3587</v>
      </c>
      <c r="H96" s="1220">
        <v>42</v>
      </c>
    </row>
    <row r="97" spans="1:8">
      <c r="A97" s="1220" t="s">
        <v>3409</v>
      </c>
      <c r="B97" s="1220" t="s">
        <v>2933</v>
      </c>
      <c r="C97" s="1389" t="s">
        <v>3491</v>
      </c>
      <c r="D97" s="1389" t="s">
        <v>2901</v>
      </c>
      <c r="E97" s="1221">
        <v>33915</v>
      </c>
      <c r="F97" s="1221">
        <v>-26327.41</v>
      </c>
      <c r="G97" s="1220" t="s">
        <v>3410</v>
      </c>
      <c r="H97" s="1220">
        <v>41</v>
      </c>
    </row>
    <row r="98" spans="1:8">
      <c r="A98" s="1220" t="s">
        <v>3588</v>
      </c>
      <c r="B98" s="1220" t="s">
        <v>2936</v>
      </c>
      <c r="C98" s="1389" t="s">
        <v>3491</v>
      </c>
      <c r="D98" s="1389" t="s">
        <v>2901</v>
      </c>
      <c r="E98" s="1221">
        <v>32165</v>
      </c>
      <c r="F98" s="1221">
        <v>0</v>
      </c>
      <c r="G98" s="1220" t="s">
        <v>3589</v>
      </c>
      <c r="H98" s="1220">
        <v>2</v>
      </c>
    </row>
    <row r="99" spans="1:8">
      <c r="A99" s="1220" t="s">
        <v>3590</v>
      </c>
      <c r="B99" s="1220" t="s">
        <v>2936</v>
      </c>
      <c r="C99" s="1389" t="s">
        <v>3491</v>
      </c>
      <c r="D99" s="1389" t="s">
        <v>2901</v>
      </c>
      <c r="E99" s="1221">
        <v>35670</v>
      </c>
      <c r="F99" s="1221">
        <v>-31500</v>
      </c>
      <c r="G99" s="1220" t="s">
        <v>3591</v>
      </c>
      <c r="H99" s="1220">
        <v>15</v>
      </c>
    </row>
    <row r="100" spans="1:8">
      <c r="A100" s="1220" t="s">
        <v>3592</v>
      </c>
      <c r="B100" s="1220" t="s">
        <v>2936</v>
      </c>
      <c r="C100" s="1389" t="s">
        <v>3491</v>
      </c>
      <c r="D100" s="1389" t="s">
        <v>2901</v>
      </c>
      <c r="E100" s="1221">
        <v>37970</v>
      </c>
      <c r="F100" s="1221">
        <v>-33570</v>
      </c>
      <c r="G100" s="1220" t="s">
        <v>3593</v>
      </c>
      <c r="H100" s="1220">
        <v>17</v>
      </c>
    </row>
    <row r="101" spans="1:8">
      <c r="A101" s="1220" t="s">
        <v>3594</v>
      </c>
      <c r="B101" s="1220" t="s">
        <v>2936</v>
      </c>
      <c r="C101" s="1389" t="s">
        <v>3491</v>
      </c>
      <c r="D101" s="1389" t="s">
        <v>2901</v>
      </c>
      <c r="E101" s="1221">
        <v>38257.980000000003</v>
      </c>
      <c r="F101" s="1221">
        <v>-33300</v>
      </c>
      <c r="G101" s="1220" t="s">
        <v>3595</v>
      </c>
      <c r="H101" s="1220">
        <v>39</v>
      </c>
    </row>
    <row r="102" spans="1:8">
      <c r="A102" s="1220" t="s">
        <v>3596</v>
      </c>
      <c r="B102" s="1220" t="s">
        <v>2936</v>
      </c>
      <c r="C102" s="1389" t="s">
        <v>3491</v>
      </c>
      <c r="D102" s="1389" t="s">
        <v>2901</v>
      </c>
      <c r="E102" s="1221">
        <v>38997.07</v>
      </c>
      <c r="F102" s="1221">
        <v>-33750</v>
      </c>
      <c r="G102" s="1220" t="s">
        <v>3597</v>
      </c>
      <c r="H102" s="1220">
        <v>29</v>
      </c>
    </row>
    <row r="103" spans="1:8">
      <c r="A103" s="1220" t="s">
        <v>3598</v>
      </c>
      <c r="B103" s="1220" t="s">
        <v>2926</v>
      </c>
      <c r="C103" s="1389" t="s">
        <v>3491</v>
      </c>
      <c r="D103" s="1389" t="s">
        <v>2901</v>
      </c>
      <c r="E103" s="1221">
        <v>41972.12</v>
      </c>
      <c r="F103" s="1221">
        <v>-40709.589999999997</v>
      </c>
      <c r="G103" s="1220" t="s">
        <v>3599</v>
      </c>
      <c r="H103" s="1220">
        <v>16</v>
      </c>
    </row>
    <row r="104" spans="1:8">
      <c r="A104" s="1220" t="s">
        <v>3600</v>
      </c>
      <c r="B104" s="1220" t="s">
        <v>2935</v>
      </c>
      <c r="C104" s="1389" t="s">
        <v>3491</v>
      </c>
      <c r="D104" s="1389"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4" t="str">
        <f>Parametres!$B$1&amp;" "&amp;"2 pager"&amp;" "&amp;Parametres!$B$3&amp;" "&amp;Parametres!$B$4</f>
        <v>Volks 2 pager Novembre 2022</v>
      </c>
      <c r="C1" s="1414"/>
      <c r="D1" s="1414"/>
      <c r="E1" s="1414"/>
      <c r="F1" s="1414"/>
      <c r="G1" s="1414"/>
      <c r="H1" s="1414"/>
      <c r="I1" s="1414"/>
      <c r="J1" s="1414"/>
      <c r="K1" s="1414"/>
      <c r="L1" s="1414"/>
      <c r="M1" s="1414"/>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68.002409638554212</v>
      </c>
      <c r="E4" s="653">
        <f>+Print_Mois!$D$13+Print_Mois!$D$15</f>
        <v>68.002409638554212</v>
      </c>
      <c r="F4" s="653">
        <f>+Print_Mois!$O$13+Print_Mois!$O$15</f>
        <v>79</v>
      </c>
      <c r="G4" s="655">
        <f>+IFERROR($C4-D4,"")</f>
        <v>-68.002409638554212</v>
      </c>
      <c r="H4" s="654">
        <f>+IFERROR($C4-E4,"")</f>
        <v>-68.002409638554212</v>
      </c>
      <c r="I4" s="656">
        <f>+IFERROR($C4-F4,"")</f>
        <v>-79</v>
      </c>
      <c r="J4" s="668">
        <f t="shared" ref="J4:J15" si="0">+IFERROR(G4/ABS($D4),"")</f>
        <v>-1</v>
      </c>
      <c r="K4" s="669">
        <f t="shared" ref="K4:K15" si="1">+IFERROR(H4/ABS($E4),"")</f>
        <v>-1</v>
      </c>
      <c r="L4" s="670">
        <f t="shared" ref="L4:L15" si="2">+IFERROR(I4/ABS($F4),"")</f>
        <v>-1</v>
      </c>
      <c r="M4" s="1411" t="s">
        <v>3603</v>
      </c>
    </row>
    <row r="5" spans="2:13">
      <c r="B5" s="633" t="s">
        <v>1949</v>
      </c>
      <c r="C5" s="1012">
        <f>+Print_Mois!$L$13+Print_Mois!$L$15</f>
        <v>0</v>
      </c>
      <c r="D5" s="1012">
        <f>+Print_Mois!$I$13+Print_Mois!$I$15</f>
        <v>128705.19399815868</v>
      </c>
      <c r="E5" s="1012">
        <f>+Print_Mois!$F$13+Print_Mois!$F$15</f>
        <v>128705.19399815868</v>
      </c>
      <c r="F5" s="1012">
        <f>+Print_Mois!$Q$13+Print_Mois!$Q$15</f>
        <v>195677.31999999966</v>
      </c>
      <c r="G5" s="1013">
        <f>+IFERROR($C5-D5,"")</f>
        <v>-128705.19399815868</v>
      </c>
      <c r="H5" s="1014">
        <f t="shared" ref="G5:I15" si="3">+IFERROR($C5-E5,"")</f>
        <v>-128705.19399815868</v>
      </c>
      <c r="I5" s="1015">
        <f t="shared" si="3"/>
        <v>-195677.31999999966</v>
      </c>
      <c r="J5" s="1016">
        <f t="shared" si="0"/>
        <v>-1</v>
      </c>
      <c r="K5" s="1017">
        <f t="shared" si="1"/>
        <v>-1</v>
      </c>
      <c r="L5" s="1018">
        <f t="shared" si="2"/>
        <v>-1</v>
      </c>
      <c r="M5" s="1412"/>
    </row>
    <row r="6" spans="2:13">
      <c r="B6" s="633" t="s">
        <v>1950</v>
      </c>
      <c r="C6" s="1012" t="e">
        <f>+C5/C4</f>
        <v>#DIV/0!</v>
      </c>
      <c r="D6" s="1012">
        <f t="shared" ref="D6:F6" si="4">+D5/D4</f>
        <v>1892.6563732410564</v>
      </c>
      <c r="E6" s="1012">
        <f t="shared" si="4"/>
        <v>1892.6563732410564</v>
      </c>
      <c r="F6" s="1012">
        <f t="shared" si="4"/>
        <v>2476.9281012658184</v>
      </c>
      <c r="G6" s="1013" t="str">
        <f t="shared" si="3"/>
        <v/>
      </c>
      <c r="H6" s="1014" t="str">
        <f t="shared" si="3"/>
        <v/>
      </c>
      <c r="I6" s="1015" t="str">
        <f t="shared" si="3"/>
        <v/>
      </c>
      <c r="J6" s="1016" t="str">
        <f t="shared" si="0"/>
        <v/>
      </c>
      <c r="K6" s="1017" t="str">
        <f t="shared" si="1"/>
        <v/>
      </c>
      <c r="L6" s="1018" t="str">
        <f t="shared" si="2"/>
        <v/>
      </c>
      <c r="M6" s="1412"/>
    </row>
    <row r="7" spans="2:13">
      <c r="B7" s="633" t="s">
        <v>1951</v>
      </c>
      <c r="C7" s="1012">
        <f>+Print_Mois!$L$31</f>
        <v>0</v>
      </c>
      <c r="D7" s="1012">
        <f>+Print_Mois!$I$31</f>
        <v>42736.953525523422</v>
      </c>
      <c r="E7" s="1012">
        <f>+Print_Mois!$F$31</f>
        <v>42736.953525523422</v>
      </c>
      <c r="F7" s="1012">
        <f>+Print_Mois!$Q$31</f>
        <v>64675.77</v>
      </c>
      <c r="G7" s="1013">
        <f t="shared" si="3"/>
        <v>-42736.953525523422</v>
      </c>
      <c r="H7" s="1014">
        <f t="shared" si="3"/>
        <v>-42736.953525523422</v>
      </c>
      <c r="I7" s="1015">
        <f t="shared" si="3"/>
        <v>-64675.77</v>
      </c>
      <c r="J7" s="1016">
        <f t="shared" si="0"/>
        <v>-1</v>
      </c>
      <c r="K7" s="1017">
        <f t="shared" si="1"/>
        <v>-1</v>
      </c>
      <c r="L7" s="1018">
        <f t="shared" si="2"/>
        <v>-1</v>
      </c>
      <c r="M7" s="1412"/>
    </row>
    <row r="8" spans="2:13">
      <c r="B8" s="633" t="s">
        <v>1952</v>
      </c>
      <c r="C8" s="1019" t="e">
        <f>+C7/C5</f>
        <v>#DIV/0!</v>
      </c>
      <c r="D8" s="1019">
        <f t="shared" ref="D8:F8" si="5">+D7/D5</f>
        <v>0.33205306015959885</v>
      </c>
      <c r="E8" s="1019">
        <f t="shared" si="5"/>
        <v>0.33205306015959885</v>
      </c>
      <c r="F8" s="1019">
        <f t="shared" si="5"/>
        <v>0.33052256643743949</v>
      </c>
      <c r="G8" s="1020" t="str">
        <f t="shared" si="3"/>
        <v/>
      </c>
      <c r="H8" s="1021" t="str">
        <f t="shared" si="3"/>
        <v/>
      </c>
      <c r="I8" s="1022" t="str">
        <f t="shared" si="3"/>
        <v/>
      </c>
      <c r="J8" s="1016" t="str">
        <f t="shared" si="0"/>
        <v/>
      </c>
      <c r="K8" s="1017" t="str">
        <f t="shared" si="1"/>
        <v/>
      </c>
      <c r="L8" s="1018" t="str">
        <f t="shared" si="2"/>
        <v/>
      </c>
      <c r="M8" s="1412"/>
    </row>
    <row r="9" spans="2:13">
      <c r="B9" s="633" t="s">
        <v>1953</v>
      </c>
      <c r="C9" s="1012">
        <f>+Print_Mois!$L$24</f>
        <v>0</v>
      </c>
      <c r="D9" s="1012">
        <f>+Print_Mois!$I$24</f>
        <v>57802.048192771072</v>
      </c>
      <c r="E9" s="1012">
        <f>+Print_Mois!$F$24</f>
        <v>57802.048192771072</v>
      </c>
      <c r="F9" s="1012">
        <f>+Print_Mois!$Q$24</f>
        <v>69041.349999999991</v>
      </c>
      <c r="G9" s="1013">
        <f t="shared" si="3"/>
        <v>-57802.048192771072</v>
      </c>
      <c r="H9" s="1014">
        <f t="shared" si="3"/>
        <v>-57802.048192771072</v>
      </c>
      <c r="I9" s="1015">
        <f t="shared" si="3"/>
        <v>-69041.349999999991</v>
      </c>
      <c r="J9" s="1016">
        <f t="shared" si="0"/>
        <v>-1</v>
      </c>
      <c r="K9" s="1017">
        <f t="shared" si="1"/>
        <v>-1</v>
      </c>
      <c r="L9" s="1018">
        <f t="shared" si="2"/>
        <v>-1</v>
      </c>
      <c r="M9" s="1412"/>
    </row>
    <row r="10" spans="2:13">
      <c r="B10" s="633" t="s">
        <v>1954</v>
      </c>
      <c r="C10" s="1012" t="e">
        <f>+C9/C4</f>
        <v>#DIV/0!</v>
      </c>
      <c r="D10" s="1012">
        <f t="shared" ref="D10:F10" si="6">+D9/D4</f>
        <v>849.99999999999989</v>
      </c>
      <c r="E10" s="1012">
        <f t="shared" si="6"/>
        <v>849.99999999999989</v>
      </c>
      <c r="F10" s="1012">
        <f t="shared" si="6"/>
        <v>873.94113924050623</v>
      </c>
      <c r="G10" s="1013" t="str">
        <f t="shared" si="3"/>
        <v/>
      </c>
      <c r="H10" s="1014" t="str">
        <f t="shared" si="3"/>
        <v/>
      </c>
      <c r="I10" s="1015" t="str">
        <f t="shared" si="3"/>
        <v/>
      </c>
      <c r="J10" s="1016" t="str">
        <f t="shared" si="0"/>
        <v/>
      </c>
      <c r="K10" s="1017" t="str">
        <f t="shared" si="1"/>
        <v/>
      </c>
      <c r="L10" s="1018" t="str">
        <f t="shared" si="2"/>
        <v/>
      </c>
      <c r="M10" s="1412"/>
    </row>
    <row r="11" spans="2:13">
      <c r="B11" s="633" t="s">
        <v>1955</v>
      </c>
      <c r="C11" s="1012">
        <f>+Print_Mois!$L$32</f>
        <v>0</v>
      </c>
      <c r="D11" s="1012">
        <f>+Print_Mois!$I$32</f>
        <v>17340.614457831321</v>
      </c>
      <c r="E11" s="1012">
        <f>+Print_Mois!$F$32</f>
        <v>17340.614457831321</v>
      </c>
      <c r="F11" s="1012">
        <f>+Print_Mois!$Q$32</f>
        <v>22200.65</v>
      </c>
      <c r="G11" s="1013">
        <f t="shared" si="3"/>
        <v>-17340.614457831321</v>
      </c>
      <c r="H11" s="1014">
        <f t="shared" si="3"/>
        <v>-17340.614457831321</v>
      </c>
      <c r="I11" s="1015">
        <f t="shared" si="3"/>
        <v>-22200.65</v>
      </c>
      <c r="J11" s="1016">
        <f t="shared" si="0"/>
        <v>-1</v>
      </c>
      <c r="K11" s="1017">
        <f t="shared" si="1"/>
        <v>-1</v>
      </c>
      <c r="L11" s="1018">
        <f t="shared" si="2"/>
        <v>-1</v>
      </c>
      <c r="M11" s="1412"/>
    </row>
    <row r="12" spans="2:13">
      <c r="B12" s="633" t="s">
        <v>1956</v>
      </c>
      <c r="C12" s="1019" t="e">
        <f>+C11/C9</f>
        <v>#DIV/0!</v>
      </c>
      <c r="D12" s="1019">
        <f t="shared" ref="D12:F12" si="7">+D11/D9</f>
        <v>0.3</v>
      </c>
      <c r="E12" s="1019">
        <f t="shared" si="7"/>
        <v>0.3</v>
      </c>
      <c r="F12" s="1019">
        <f t="shared" si="7"/>
        <v>0.32155585022598782</v>
      </c>
      <c r="G12" s="1023" t="str">
        <f t="shared" si="3"/>
        <v/>
      </c>
      <c r="H12" s="1017" t="str">
        <f t="shared" si="3"/>
        <v/>
      </c>
      <c r="I12" s="1024" t="str">
        <f t="shared" si="3"/>
        <v/>
      </c>
      <c r="J12" s="1016" t="str">
        <f t="shared" si="0"/>
        <v/>
      </c>
      <c r="K12" s="1017" t="str">
        <f t="shared" si="1"/>
        <v/>
      </c>
      <c r="L12" s="1018" t="str">
        <f t="shared" si="2"/>
        <v/>
      </c>
      <c r="M12" s="1412"/>
    </row>
    <row r="13" spans="2:13">
      <c r="B13" s="633" t="s">
        <v>1957</v>
      </c>
      <c r="C13" s="1012">
        <f>+Print_Mois!$L$41-C7-C11</f>
        <v>0</v>
      </c>
      <c r="D13" s="1012">
        <f>+Print_Mois!$I$41-D7-D11</f>
        <v>31854.029759400062</v>
      </c>
      <c r="E13" s="1012">
        <f>+Print_Mois!$F$41-E7-E11</f>
        <v>31854.029759400062</v>
      </c>
      <c r="F13" s="1012">
        <f>+Print_Mois!$Q$41-F7-F11</f>
        <v>47781.929999999986</v>
      </c>
      <c r="G13" s="1013">
        <f t="shared" si="3"/>
        <v>-31854.029759400062</v>
      </c>
      <c r="H13" s="1014">
        <f t="shared" si="3"/>
        <v>-31854.029759400062</v>
      </c>
      <c r="I13" s="1015">
        <f t="shared" si="3"/>
        <v>-47781.929999999986</v>
      </c>
      <c r="J13" s="1016">
        <f t="shared" si="0"/>
        <v>-1</v>
      </c>
      <c r="K13" s="1017">
        <f t="shared" si="1"/>
        <v>-1</v>
      </c>
      <c r="L13" s="1018">
        <f t="shared" si="2"/>
        <v>-1</v>
      </c>
      <c r="M13" s="1412"/>
    </row>
    <row r="14" spans="2:13">
      <c r="B14" s="633" t="s">
        <v>1958</v>
      </c>
      <c r="C14" s="1012" t="e">
        <f>+C13/C4</f>
        <v>#DIV/0!</v>
      </c>
      <c r="D14" s="1012">
        <f t="shared" ref="D14:F14" si="8">+D13/D4</f>
        <v>468.42501506505886</v>
      </c>
      <c r="E14" s="1012">
        <f t="shared" si="8"/>
        <v>468.42501506505886</v>
      </c>
      <c r="F14" s="1012">
        <f t="shared" si="8"/>
        <v>604.83455696202509</v>
      </c>
      <c r="G14" s="1013" t="str">
        <f t="shared" si="3"/>
        <v/>
      </c>
      <c r="H14" s="1014" t="str">
        <f t="shared" si="3"/>
        <v/>
      </c>
      <c r="I14" s="1015" t="str">
        <f t="shared" si="3"/>
        <v/>
      </c>
      <c r="J14" s="1016" t="str">
        <f t="shared" si="0"/>
        <v/>
      </c>
      <c r="K14" s="1017" t="str">
        <f t="shared" si="1"/>
        <v/>
      </c>
      <c r="L14" s="1018" t="str">
        <f t="shared" si="2"/>
        <v/>
      </c>
      <c r="M14" s="1412"/>
    </row>
    <row r="15" spans="2:13">
      <c r="B15" s="633" t="s">
        <v>1959</v>
      </c>
      <c r="C15" s="1012">
        <f>+Print_Mois!$L$83</f>
        <v>0</v>
      </c>
      <c r="D15" s="1012">
        <f>+Print_Mois!$I$83</f>
        <v>96972.817700554413</v>
      </c>
      <c r="E15" s="1012">
        <f>+Print_Mois!$F$83</f>
        <v>96972.817700554413</v>
      </c>
      <c r="F15" s="1012">
        <f>+Print_Mois!$Q$83</f>
        <v>76803.149999999994</v>
      </c>
      <c r="G15" s="1013">
        <f t="shared" si="3"/>
        <v>-96972.817700554413</v>
      </c>
      <c r="H15" s="1014">
        <f t="shared" si="3"/>
        <v>-96972.817700554413</v>
      </c>
      <c r="I15" s="1015">
        <f t="shared" si="3"/>
        <v>-76803.149999999994</v>
      </c>
      <c r="J15" s="1016">
        <f t="shared" si="0"/>
        <v>-1</v>
      </c>
      <c r="K15" s="1017">
        <f t="shared" si="1"/>
        <v>-1</v>
      </c>
      <c r="L15" s="1018">
        <f t="shared" si="2"/>
        <v>-1</v>
      </c>
      <c r="M15" s="1412"/>
    </row>
    <row r="16" spans="2:13">
      <c r="B16" s="635" t="s">
        <v>1960</v>
      </c>
      <c r="C16" s="1025"/>
      <c r="D16" s="1025"/>
      <c r="E16" s="1025"/>
      <c r="F16" s="1025"/>
      <c r="G16" s="1026"/>
      <c r="H16" s="1027"/>
      <c r="I16" s="1028"/>
      <c r="J16" s="1029"/>
      <c r="K16" s="1030"/>
      <c r="L16" s="1031"/>
      <c r="M16" s="1412"/>
    </row>
    <row r="17" spans="2:13">
      <c r="B17" s="1359" t="s">
        <v>1948</v>
      </c>
      <c r="C17" s="1363">
        <f>Inventaire_Neuf!L3</f>
        <v>29</v>
      </c>
      <c r="D17" s="1363">
        <v>61</v>
      </c>
      <c r="E17" s="1363">
        <v>61</v>
      </c>
      <c r="F17" s="1363">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2"/>
    </row>
    <row r="18" spans="2:13">
      <c r="B18" s="1361" t="s">
        <v>1913</v>
      </c>
      <c r="C18" s="1364">
        <f>Inventaire_Neuf!L2</f>
        <v>1188579.01</v>
      </c>
      <c r="D18" s="1365">
        <v>2233570</v>
      </c>
      <c r="E18" s="1365">
        <v>2233570</v>
      </c>
      <c r="F18" s="1364">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3"/>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35.364077669902912</v>
      </c>
      <c r="E21" s="653">
        <f>+Print_Mois!$D$96</f>
        <v>35.364077669902912</v>
      </c>
      <c r="F21" s="653">
        <f>+Print_Mois!$O$96</f>
        <v>36</v>
      </c>
      <c r="G21" s="655">
        <f t="shared" ref="G21:I32" si="10">+IFERROR($C21-D21,"")</f>
        <v>-35.364077669902912</v>
      </c>
      <c r="H21" s="654">
        <f t="shared" si="10"/>
        <v>-35.364077669902912</v>
      </c>
      <c r="I21" s="656">
        <f t="shared" si="10"/>
        <v>-36</v>
      </c>
      <c r="J21" s="668">
        <f t="shared" ref="J21:J32" si="11">+IFERROR(G21/ABS($D21),"")</f>
        <v>-1</v>
      </c>
      <c r="K21" s="669">
        <f t="shared" ref="K21:K32" si="12">+IFERROR(H21/ABS($E21),"")</f>
        <v>-1</v>
      </c>
      <c r="L21" s="670">
        <f t="shared" ref="L21:L32" si="13">+IFERROR(I21/ABS($F21),"")</f>
        <v>-1</v>
      </c>
      <c r="M21" s="1411" t="s">
        <v>3604</v>
      </c>
    </row>
    <row r="22" spans="2:13">
      <c r="B22" s="633" t="s">
        <v>1949</v>
      </c>
      <c r="C22" s="1012">
        <f>+Print_Mois!$L$96</f>
        <v>0</v>
      </c>
      <c r="D22" s="1012">
        <f>+Print_Mois!$I$96</f>
        <v>45220.873786407763</v>
      </c>
      <c r="E22" s="1012">
        <f>+Print_Mois!$F$96</f>
        <v>45220.873786407763</v>
      </c>
      <c r="F22" s="1012">
        <f>+Print_Mois!$Q$96</f>
        <v>65050.729999999974</v>
      </c>
      <c r="G22" s="1013">
        <f t="shared" si="10"/>
        <v>-45220.873786407763</v>
      </c>
      <c r="H22" s="1014">
        <f t="shared" si="10"/>
        <v>-45220.873786407763</v>
      </c>
      <c r="I22" s="1015">
        <f t="shared" si="10"/>
        <v>-65050.729999999974</v>
      </c>
      <c r="J22" s="1016">
        <f t="shared" si="11"/>
        <v>-1</v>
      </c>
      <c r="K22" s="1017">
        <f t="shared" si="12"/>
        <v>-1</v>
      </c>
      <c r="L22" s="1018">
        <f t="shared" si="13"/>
        <v>-1</v>
      </c>
      <c r="M22" s="1412"/>
    </row>
    <row r="23" spans="2:13">
      <c r="B23" s="633" t="s">
        <v>1950</v>
      </c>
      <c r="C23" s="1012" t="e">
        <f>+C22/C21</f>
        <v>#DIV/0!</v>
      </c>
      <c r="D23" s="1012">
        <f t="shared" ref="D23:F23" si="14">+D22/D21</f>
        <v>1278.7234042553191</v>
      </c>
      <c r="E23" s="1012">
        <f t="shared" si="14"/>
        <v>1278.7234042553191</v>
      </c>
      <c r="F23" s="1012">
        <f t="shared" si="14"/>
        <v>1806.9647222222216</v>
      </c>
      <c r="G23" s="1013" t="str">
        <f t="shared" si="10"/>
        <v/>
      </c>
      <c r="H23" s="1014" t="str">
        <f t="shared" si="10"/>
        <v/>
      </c>
      <c r="I23" s="1015" t="str">
        <f t="shared" si="10"/>
        <v/>
      </c>
      <c r="J23" s="1016" t="str">
        <f t="shared" si="11"/>
        <v/>
      </c>
      <c r="K23" s="1017" t="str">
        <f t="shared" si="12"/>
        <v/>
      </c>
      <c r="L23" s="1018" t="str">
        <f t="shared" si="13"/>
        <v/>
      </c>
      <c r="M23" s="1412"/>
    </row>
    <row r="24" spans="2:13">
      <c r="B24" s="633" t="s">
        <v>1951</v>
      </c>
      <c r="C24" s="1012">
        <f>+Print_Mois!$L$111</f>
        <v>0</v>
      </c>
      <c r="D24" s="1012">
        <f>+Print_Mois!$I$111</f>
        <v>18553.27063106796</v>
      </c>
      <c r="E24" s="1012">
        <f>+Print_Mois!$F$111</f>
        <v>18553.27063106796</v>
      </c>
      <c r="F24" s="1012">
        <f>+Print_Mois!$Q$111</f>
        <v>24414</v>
      </c>
      <c r="G24" s="1013">
        <f t="shared" si="10"/>
        <v>-18553.27063106796</v>
      </c>
      <c r="H24" s="1014">
        <f t="shared" si="10"/>
        <v>-18553.27063106796</v>
      </c>
      <c r="I24" s="1015">
        <f t="shared" si="10"/>
        <v>-24414</v>
      </c>
      <c r="J24" s="1016">
        <f t="shared" si="11"/>
        <v>-1</v>
      </c>
      <c r="K24" s="1017">
        <f t="shared" si="12"/>
        <v>-1</v>
      </c>
      <c r="L24" s="1018">
        <f t="shared" si="13"/>
        <v>-1</v>
      </c>
      <c r="M24" s="1412"/>
    </row>
    <row r="25" spans="2:13">
      <c r="B25" s="633" t="s">
        <v>1952</v>
      </c>
      <c r="C25" s="1019" t="e">
        <f>+C24/C22</f>
        <v>#DIV/0!</v>
      </c>
      <c r="D25" s="1019">
        <f t="shared" ref="D25:E25" si="15">+D24/D22</f>
        <v>0.41028111749235147</v>
      </c>
      <c r="E25" s="1019">
        <f t="shared" si="15"/>
        <v>0.41028111749235147</v>
      </c>
      <c r="F25" s="1019">
        <f>+F24/F22</f>
        <v>0.37530708725328693</v>
      </c>
      <c r="G25" s="1020" t="str">
        <f t="shared" si="10"/>
        <v/>
      </c>
      <c r="H25" s="1021" t="str">
        <f t="shared" si="10"/>
        <v/>
      </c>
      <c r="I25" s="1022" t="str">
        <f t="shared" si="10"/>
        <v/>
      </c>
      <c r="J25" s="1016" t="str">
        <f t="shared" si="11"/>
        <v/>
      </c>
      <c r="K25" s="1017" t="str">
        <f t="shared" si="12"/>
        <v/>
      </c>
      <c r="L25" s="1018" t="str">
        <f t="shared" si="13"/>
        <v/>
      </c>
      <c r="M25" s="1412"/>
    </row>
    <row r="26" spans="2:13">
      <c r="B26" s="633" t="s">
        <v>1953</v>
      </c>
      <c r="C26" s="1012">
        <f>+Print_Mois!$L$104</f>
        <v>0</v>
      </c>
      <c r="D26" s="1012">
        <f>+Print_Mois!$I$104</f>
        <v>65556.470168922941</v>
      </c>
      <c r="E26" s="1012">
        <f>+Print_Mois!$F$104</f>
        <v>65556.470168922941</v>
      </c>
      <c r="F26" s="1012">
        <f>+Print_Mois!$Q$104</f>
        <v>88842.170000000013</v>
      </c>
      <c r="G26" s="1013">
        <f t="shared" si="10"/>
        <v>-65556.470168922941</v>
      </c>
      <c r="H26" s="1014">
        <f t="shared" si="10"/>
        <v>-65556.470168922941</v>
      </c>
      <c r="I26" s="1015">
        <f t="shared" si="10"/>
        <v>-88842.170000000013</v>
      </c>
      <c r="J26" s="1016">
        <f t="shared" si="11"/>
        <v>-1</v>
      </c>
      <c r="K26" s="1017">
        <f t="shared" si="12"/>
        <v>-1</v>
      </c>
      <c r="L26" s="1018">
        <f t="shared" si="13"/>
        <v>-1</v>
      </c>
      <c r="M26" s="1412"/>
    </row>
    <row r="27" spans="2:13">
      <c r="B27" s="633" t="s">
        <v>1954</v>
      </c>
      <c r="C27" s="1012" t="e">
        <f>+C26/C21</f>
        <v>#DIV/0!</v>
      </c>
      <c r="D27" s="1012">
        <f t="shared" ref="D27:F27" si="16">+D26/D21</f>
        <v>1853.758799560484</v>
      </c>
      <c r="E27" s="1012">
        <f t="shared" si="16"/>
        <v>1853.758799560484</v>
      </c>
      <c r="F27" s="1012">
        <f t="shared" si="16"/>
        <v>2467.8380555555559</v>
      </c>
      <c r="G27" s="1013" t="str">
        <f t="shared" si="10"/>
        <v/>
      </c>
      <c r="H27" s="1014" t="str">
        <f t="shared" si="10"/>
        <v/>
      </c>
      <c r="I27" s="1015" t="str">
        <f t="shared" si="10"/>
        <v/>
      </c>
      <c r="J27" s="1016" t="str">
        <f t="shared" si="11"/>
        <v/>
      </c>
      <c r="K27" s="1017" t="str">
        <f t="shared" si="12"/>
        <v/>
      </c>
      <c r="L27" s="1018" t="str">
        <f t="shared" si="13"/>
        <v/>
      </c>
      <c r="M27" s="1412"/>
    </row>
    <row r="28" spans="2:13">
      <c r="B28" s="633" t="s">
        <v>1955</v>
      </c>
      <c r="C28" s="1012">
        <f>+Print_Mois!$L$112</f>
        <v>0</v>
      </c>
      <c r="D28" s="1012">
        <f>+Print_Mois!$I$112</f>
        <v>19666.94105067688</v>
      </c>
      <c r="E28" s="1012">
        <f>+Print_Mois!$F$112</f>
        <v>19666.94105067688</v>
      </c>
      <c r="F28" s="1012">
        <f>+Print_Mois!$Q$112</f>
        <v>28568.27</v>
      </c>
      <c r="G28" s="1013">
        <f t="shared" si="10"/>
        <v>-19666.94105067688</v>
      </c>
      <c r="H28" s="1014">
        <f t="shared" si="10"/>
        <v>-19666.94105067688</v>
      </c>
      <c r="I28" s="1015">
        <f t="shared" si="10"/>
        <v>-28568.27</v>
      </c>
      <c r="J28" s="1016">
        <f t="shared" si="11"/>
        <v>-1</v>
      </c>
      <c r="K28" s="1017">
        <f t="shared" si="12"/>
        <v>-1</v>
      </c>
      <c r="L28" s="1018">
        <f t="shared" si="13"/>
        <v>-1</v>
      </c>
      <c r="M28" s="1412"/>
    </row>
    <row r="29" spans="2:13">
      <c r="B29" s="633" t="s">
        <v>1956</v>
      </c>
      <c r="C29" s="1019" t="e">
        <f>+C28/C26</f>
        <v>#DIV/0!</v>
      </c>
      <c r="D29" s="1019">
        <f t="shared" ref="D29:F29" si="17">+D28/D26</f>
        <v>0.3</v>
      </c>
      <c r="E29" s="1019">
        <f t="shared" si="17"/>
        <v>0.3</v>
      </c>
      <c r="F29" s="1019">
        <f t="shared" si="17"/>
        <v>0.32156204649211062</v>
      </c>
      <c r="G29" s="1023" t="str">
        <f t="shared" si="10"/>
        <v/>
      </c>
      <c r="H29" s="1017" t="str">
        <f t="shared" si="10"/>
        <v/>
      </c>
      <c r="I29" s="1024" t="str">
        <f t="shared" si="10"/>
        <v/>
      </c>
      <c r="J29" s="1016" t="str">
        <f t="shared" si="11"/>
        <v/>
      </c>
      <c r="K29" s="1017" t="str">
        <f t="shared" si="12"/>
        <v/>
      </c>
      <c r="L29" s="1018" t="str">
        <f t="shared" si="13"/>
        <v/>
      </c>
      <c r="M29" s="1412"/>
    </row>
    <row r="30" spans="2:13">
      <c r="B30" s="633" t="s">
        <v>1957</v>
      </c>
      <c r="C30" s="1012">
        <f>+Print_Mois!$L$121-C24-C28</f>
        <v>0</v>
      </c>
      <c r="D30" s="1012">
        <f>+Print_Mois!$I$121-D24-D28</f>
        <v>9035.3940841693475</v>
      </c>
      <c r="E30" s="1012">
        <f>+Print_Mois!$F$121-E24-E28</f>
        <v>9035.3940841693475</v>
      </c>
      <c r="F30" s="1012">
        <f>+Print_Mois!$Q$121-F24-F28</f>
        <v>14218.870000000014</v>
      </c>
      <c r="G30" s="1013">
        <f t="shared" si="10"/>
        <v>-9035.3940841693475</v>
      </c>
      <c r="H30" s="1014">
        <f t="shared" si="10"/>
        <v>-9035.3940841693475</v>
      </c>
      <c r="I30" s="1015">
        <f t="shared" si="10"/>
        <v>-14218.870000000014</v>
      </c>
      <c r="J30" s="1016">
        <f t="shared" si="11"/>
        <v>-1</v>
      </c>
      <c r="K30" s="1017">
        <f t="shared" si="12"/>
        <v>-1</v>
      </c>
      <c r="L30" s="1018">
        <f t="shared" si="13"/>
        <v>-1</v>
      </c>
      <c r="M30" s="1412"/>
    </row>
    <row r="31" spans="2:13">
      <c r="B31" s="633" t="s">
        <v>1958</v>
      </c>
      <c r="C31" s="1012" t="e">
        <f>+C30/C21</f>
        <v>#DIV/0!</v>
      </c>
      <c r="D31" s="1012">
        <f t="shared" ref="D31:F31" si="18">+D30/D21</f>
        <v>255.49638728056084</v>
      </c>
      <c r="E31" s="1012">
        <f t="shared" si="18"/>
        <v>255.49638728056084</v>
      </c>
      <c r="F31" s="1012">
        <f t="shared" si="18"/>
        <v>394.9686111111115</v>
      </c>
      <c r="G31" s="1013" t="str">
        <f t="shared" si="10"/>
        <v/>
      </c>
      <c r="H31" s="1014" t="str">
        <f t="shared" si="10"/>
        <v/>
      </c>
      <c r="I31" s="1015" t="str">
        <f t="shared" si="10"/>
        <v/>
      </c>
      <c r="J31" s="1016" t="str">
        <f t="shared" si="11"/>
        <v/>
      </c>
      <c r="K31" s="1017" t="str">
        <f t="shared" si="12"/>
        <v/>
      </c>
      <c r="L31" s="1018" t="str">
        <f t="shared" si="13"/>
        <v/>
      </c>
      <c r="M31" s="1412"/>
    </row>
    <row r="32" spans="2:13">
      <c r="B32" s="633" t="s">
        <v>1959</v>
      </c>
      <c r="C32" s="1012">
        <f>+Print_Mois!$L$162</f>
        <v>0</v>
      </c>
      <c r="D32" s="1012">
        <f>+Print_Mois!$I$162</f>
        <v>12699.240291262136</v>
      </c>
      <c r="E32" s="1012">
        <f>+Print_Mois!$F$162</f>
        <v>12699.240291262136</v>
      </c>
      <c r="F32" s="1012">
        <f>+Print_Mois!$Q$162</f>
        <v>12564</v>
      </c>
      <c r="G32" s="1013">
        <f t="shared" si="10"/>
        <v>-12699.240291262136</v>
      </c>
      <c r="H32" s="1014">
        <f t="shared" si="10"/>
        <v>-12699.240291262136</v>
      </c>
      <c r="I32" s="1015">
        <f t="shared" si="10"/>
        <v>-12564</v>
      </c>
      <c r="J32" s="1016">
        <f t="shared" si="11"/>
        <v>-1</v>
      </c>
      <c r="K32" s="1017">
        <f t="shared" si="12"/>
        <v>-1</v>
      </c>
      <c r="L32" s="1018">
        <f t="shared" si="13"/>
        <v>-1</v>
      </c>
      <c r="M32" s="1412"/>
    </row>
    <row r="33" spans="2:13">
      <c r="B33" s="635" t="s">
        <v>1960</v>
      </c>
      <c r="C33" s="1025"/>
      <c r="D33" s="1025"/>
      <c r="E33" s="1025"/>
      <c r="F33" s="1025"/>
      <c r="G33" s="1026"/>
      <c r="H33" s="1027"/>
      <c r="I33" s="1028"/>
      <c r="J33" s="1029"/>
      <c r="K33" s="1030"/>
      <c r="L33" s="1031"/>
      <c r="M33" s="1412"/>
    </row>
    <row r="34" spans="2:13">
      <c r="B34" s="1359" t="s">
        <v>1948</v>
      </c>
      <c r="C34" s="1360">
        <f>Inventaire_Used!L3</f>
        <v>103</v>
      </c>
      <c r="D34" s="1360">
        <v>68</v>
      </c>
      <c r="E34" s="1360">
        <v>68</v>
      </c>
      <c r="F34" s="1360">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2"/>
    </row>
    <row r="35" spans="2:13">
      <c r="B35" s="1361" t="s">
        <v>1913</v>
      </c>
      <c r="C35" s="1362">
        <f>Inventaire_Used!L2</f>
        <v>2677576.6100000003</v>
      </c>
      <c r="D35" s="1362">
        <v>1072231</v>
      </c>
      <c r="E35" s="1362">
        <v>1072231</v>
      </c>
      <c r="F35" s="1362">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3"/>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409340.76714687631</v>
      </c>
      <c r="E38" s="657">
        <f>+Print_Mois!$E$193</f>
        <v>409340.76714687631</v>
      </c>
      <c r="F38" s="657">
        <f>+Print_Mois!$P$193</f>
        <v>356108.85000000003</v>
      </c>
      <c r="G38" s="659">
        <f t="shared" ref="G38:I47" si="20">+IFERROR($C38-D38,"")</f>
        <v>-409340.76714687631</v>
      </c>
      <c r="H38" s="658">
        <f t="shared" si="20"/>
        <v>-409340.76714687631</v>
      </c>
      <c r="I38" s="660">
        <f t="shared" si="20"/>
        <v>-356108.85000000003</v>
      </c>
      <c r="J38" s="668">
        <f t="shared" ref="J38:J47" si="21">+IFERROR(G38/ABS($D38),"")</f>
        <v>-1</v>
      </c>
      <c r="K38" s="669">
        <f t="shared" ref="K38:K47" si="22">+IFERROR(H38/ABS($E38),"")</f>
        <v>-1</v>
      </c>
      <c r="L38" s="670">
        <f t="shared" ref="L38:L47" si="23">+IFERROR(I38/ABS($F38),"")</f>
        <v>-1</v>
      </c>
      <c r="M38" s="1411" t="s">
        <v>3605</v>
      </c>
    </row>
    <row r="39" spans="2:13">
      <c r="B39" s="632" t="s">
        <v>1973</v>
      </c>
      <c r="C39" s="657">
        <f>+Print_Mois!$L$193</f>
        <v>0</v>
      </c>
      <c r="D39" s="657">
        <f>+Print_Mois!$I$193</f>
        <v>287719.66309830756</v>
      </c>
      <c r="E39" s="657">
        <f>+Print_Mois!$F$193</f>
        <v>287719.66309830756</v>
      </c>
      <c r="F39" s="657">
        <f>+Print_Mois!$Q$193</f>
        <v>259137.56999999998</v>
      </c>
      <c r="G39" s="659">
        <f t="shared" si="20"/>
        <v>-287719.66309830756</v>
      </c>
      <c r="H39" s="658">
        <f t="shared" si="20"/>
        <v>-287719.66309830756</v>
      </c>
      <c r="I39" s="660">
        <f t="shared" si="20"/>
        <v>-259137.56999999998</v>
      </c>
      <c r="J39" s="671">
        <f t="shared" si="21"/>
        <v>-1</v>
      </c>
      <c r="K39" s="672">
        <f t="shared" si="22"/>
        <v>-1</v>
      </c>
      <c r="L39" s="673">
        <f t="shared" si="23"/>
        <v>-1</v>
      </c>
      <c r="M39" s="1412"/>
    </row>
    <row r="40" spans="2:13">
      <c r="B40" s="633" t="s">
        <v>1974</v>
      </c>
      <c r="C40" s="1012" t="e">
        <f>+Print_Mois!$K$171/Print_Mois!$J$171</f>
        <v>#DIV/0!</v>
      </c>
      <c r="D40" s="1012">
        <f>+IFERROR(Print_Mois!$H$171/Print_Mois!$G$171,"")</f>
        <v>248.00000000000003</v>
      </c>
      <c r="E40" s="1012">
        <f>+IFERROR(Print_Mois!$E$171/Print_Mois!$D$171,"")</f>
        <v>248.00000000000003</v>
      </c>
      <c r="F40" s="1012">
        <f>+Print_Mois!$P$171/Print_Mois!$O$171</f>
        <v>226.61013723696249</v>
      </c>
      <c r="G40" s="1013" t="str">
        <f t="shared" si="20"/>
        <v/>
      </c>
      <c r="H40" s="1014" t="str">
        <f t="shared" si="20"/>
        <v/>
      </c>
      <c r="I40" s="1015" t="str">
        <f t="shared" si="20"/>
        <v/>
      </c>
      <c r="J40" s="1016" t="str">
        <f t="shared" si="21"/>
        <v/>
      </c>
      <c r="K40" s="1017" t="str">
        <f t="shared" si="22"/>
        <v/>
      </c>
      <c r="L40" s="1018" t="str">
        <f t="shared" si="23"/>
        <v/>
      </c>
      <c r="M40" s="1412"/>
    </row>
    <row r="41" spans="2:13">
      <c r="B41" s="633" t="s">
        <v>1975</v>
      </c>
      <c r="C41" s="1012" t="e">
        <f>+Print_Mois!$K$174/Print_Mois!$J$174</f>
        <v>#DIV/0!</v>
      </c>
      <c r="D41" s="1012">
        <f>+IFERROR(Print_Mois!$H$174/Print_Mois!$G$174,"")</f>
        <v>198.09762771214204</v>
      </c>
      <c r="E41" s="1012">
        <f>+IFERROR(Print_Mois!$E$174/Print_Mois!$D$174,"")</f>
        <v>198.09762771214204</v>
      </c>
      <c r="F41" s="1012">
        <f>+Print_Mois!$P$174/Print_Mois!$O$174</f>
        <v>78.046595174262734</v>
      </c>
      <c r="G41" s="1013" t="str">
        <f t="shared" si="20"/>
        <v/>
      </c>
      <c r="H41" s="1014" t="str">
        <f t="shared" si="20"/>
        <v/>
      </c>
      <c r="I41" s="1015" t="str">
        <f t="shared" si="20"/>
        <v/>
      </c>
      <c r="J41" s="1016" t="str">
        <f t="shared" si="21"/>
        <v/>
      </c>
      <c r="K41" s="1017" t="str">
        <f t="shared" si="22"/>
        <v/>
      </c>
      <c r="L41" s="1018" t="str">
        <f t="shared" si="23"/>
        <v/>
      </c>
      <c r="M41" s="1412"/>
    </row>
    <row r="42" spans="2:13">
      <c r="B42" s="633" t="s">
        <v>1964</v>
      </c>
      <c r="C42" s="1039">
        <f>+Print_Mois!$L$183</f>
        <v>0</v>
      </c>
      <c r="D42" s="1039">
        <f>+Print_Mois!$I$183</f>
        <v>-5922.1118032977665</v>
      </c>
      <c r="E42" s="1039">
        <f>+Print_Mois!$F$183</f>
        <v>-5922.1118032977665</v>
      </c>
      <c r="F42" s="1039">
        <f>+Print_Mois!$Q$183</f>
        <v>-5555.88</v>
      </c>
      <c r="G42" s="1013">
        <f t="shared" si="20"/>
        <v>5922.1118032977665</v>
      </c>
      <c r="H42" s="1014">
        <f t="shared" si="20"/>
        <v>5922.1118032977665</v>
      </c>
      <c r="I42" s="1015">
        <f t="shared" si="20"/>
        <v>5555.88</v>
      </c>
      <c r="J42" s="1016">
        <f t="shared" si="21"/>
        <v>1</v>
      </c>
      <c r="K42" s="1017">
        <f t="shared" si="22"/>
        <v>1</v>
      </c>
      <c r="L42" s="1018">
        <f t="shared" si="23"/>
        <v>1</v>
      </c>
      <c r="M42" s="1412"/>
    </row>
    <row r="43" spans="2:13">
      <c r="B43" s="633" t="s">
        <v>1976</v>
      </c>
      <c r="C43" s="1012">
        <f>+Print_Mois!$L$209</f>
        <v>0</v>
      </c>
      <c r="D43" s="1012">
        <f>+Print_Mois!$I$209</f>
        <v>131570.61112886554</v>
      </c>
      <c r="E43" s="1012">
        <f>+Print_Mois!$F$209</f>
        <v>131570.61112886554</v>
      </c>
      <c r="F43" s="1012">
        <f>+Print_Mois!$Q$209</f>
        <v>112274.69</v>
      </c>
      <c r="G43" s="1013">
        <f t="shared" si="20"/>
        <v>-131570.61112886554</v>
      </c>
      <c r="H43" s="1014">
        <f t="shared" si="20"/>
        <v>-131570.61112886554</v>
      </c>
      <c r="I43" s="1015">
        <f t="shared" si="20"/>
        <v>-112274.69</v>
      </c>
      <c r="J43" s="1016">
        <f t="shared" si="21"/>
        <v>-1</v>
      </c>
      <c r="K43" s="1017">
        <f t="shared" si="22"/>
        <v>-1</v>
      </c>
      <c r="L43" s="1018">
        <f t="shared" si="23"/>
        <v>-1</v>
      </c>
      <c r="M43" s="1412"/>
    </row>
    <row r="44" spans="2:13">
      <c r="B44" s="634" t="s">
        <v>1977</v>
      </c>
      <c r="C44" s="1012">
        <f>+SUM(Print_Mois!$L$197:$L$203)</f>
        <v>0</v>
      </c>
      <c r="D44" s="1012">
        <f>+SUM(Print_Mois!$I$197:$I$203)</f>
        <v>79475.094753061916</v>
      </c>
      <c r="E44" s="1012">
        <f>+SUM(Print_Mois!$F$197:$F$203)</f>
        <v>79475.094753061916</v>
      </c>
      <c r="F44" s="1012">
        <f>+SUM(Print_Mois!$Q$197:$Q$203)</f>
        <v>66681.25</v>
      </c>
      <c r="G44" s="1013">
        <f t="shared" si="20"/>
        <v>-79475.094753061916</v>
      </c>
      <c r="H44" s="1014">
        <f t="shared" si="20"/>
        <v>-79475.094753061916</v>
      </c>
      <c r="I44" s="1015">
        <f t="shared" si="20"/>
        <v>-66681.25</v>
      </c>
      <c r="J44" s="1016">
        <f t="shared" si="21"/>
        <v>-1</v>
      </c>
      <c r="K44" s="1017">
        <f t="shared" si="22"/>
        <v>-1</v>
      </c>
      <c r="L44" s="1018">
        <f t="shared" si="23"/>
        <v>-1</v>
      </c>
      <c r="M44" s="1412"/>
    </row>
    <row r="45" spans="2:13" ht="25.5" customHeight="1">
      <c r="B45" s="634" t="s">
        <v>1978</v>
      </c>
      <c r="C45" s="1012">
        <f>+SUM(Print_Mois!$L$204:$L$208)</f>
        <v>0</v>
      </c>
      <c r="D45" s="1012">
        <f>+SUM(Print_Mois!$I$204:$I$208)</f>
        <v>52095.516375803636</v>
      </c>
      <c r="E45" s="1012">
        <f>+SUM(Print_Mois!$F$204:$F$208)</f>
        <v>52095.516375803636</v>
      </c>
      <c r="F45" s="1012">
        <f>+SUM(Print_Mois!$Q$204:$Q$208)</f>
        <v>45593.439999999995</v>
      </c>
      <c r="G45" s="1013">
        <f t="shared" si="20"/>
        <v>-52095.516375803636</v>
      </c>
      <c r="H45" s="1014">
        <f t="shared" si="20"/>
        <v>-52095.516375803636</v>
      </c>
      <c r="I45" s="1015">
        <f t="shared" si="20"/>
        <v>-45593.439999999995</v>
      </c>
      <c r="J45" s="1016">
        <f t="shared" si="21"/>
        <v>-1</v>
      </c>
      <c r="K45" s="1017">
        <f t="shared" si="22"/>
        <v>-1</v>
      </c>
      <c r="L45" s="1018">
        <f t="shared" si="23"/>
        <v>-1</v>
      </c>
      <c r="M45" s="1412"/>
    </row>
    <row r="46" spans="2:13" ht="25.5" customHeight="1">
      <c r="B46" s="633" t="s">
        <v>1987</v>
      </c>
      <c r="C46" s="1040" t="e">
        <f>+C43/C38</f>
        <v>#DIV/0!</v>
      </c>
      <c r="D46" s="1040">
        <f t="shared" ref="D46:E46" si="24">+D43/D38</f>
        <v>0.32142073716702751</v>
      </c>
      <c r="E46" s="1040">
        <f t="shared" si="24"/>
        <v>0.32142073716702751</v>
      </c>
      <c r="F46" s="1040">
        <f>+F43/F38</f>
        <v>0.31528194258581327</v>
      </c>
      <c r="G46" s="1041" t="str">
        <f t="shared" si="20"/>
        <v/>
      </c>
      <c r="H46" s="1042" t="str">
        <f t="shared" si="20"/>
        <v/>
      </c>
      <c r="I46" s="1043" t="str">
        <f t="shared" si="20"/>
        <v/>
      </c>
      <c r="J46" s="1016" t="str">
        <f t="shared" si="21"/>
        <v/>
      </c>
      <c r="K46" s="1017" t="str">
        <f t="shared" si="22"/>
        <v/>
      </c>
      <c r="L46" s="1018" t="str">
        <f t="shared" si="23"/>
        <v/>
      </c>
      <c r="M46" s="1412"/>
    </row>
    <row r="47" spans="2:13" ht="52.5" customHeight="1">
      <c r="B47" s="661" t="s">
        <v>123</v>
      </c>
      <c r="C47" s="1044">
        <f>+Print_Mois!$L$212</f>
        <v>0</v>
      </c>
      <c r="D47" s="1044">
        <f>+Print_Mois!$I$212</f>
        <v>15742.274444444443</v>
      </c>
      <c r="E47" s="1044">
        <f>+Print_Mois!$F$212</f>
        <v>15742.274444444443</v>
      </c>
      <c r="F47" s="1044">
        <f>+Print_Mois!$Q$212</f>
        <v>13657.87</v>
      </c>
      <c r="G47" s="1032">
        <f t="shared" si="20"/>
        <v>-15742.274444444443</v>
      </c>
      <c r="H47" s="1033">
        <f t="shared" si="20"/>
        <v>-15742.274444444443</v>
      </c>
      <c r="I47" s="1034">
        <f t="shared" si="20"/>
        <v>-13657.87</v>
      </c>
      <c r="J47" s="1035">
        <f t="shared" si="21"/>
        <v>-1</v>
      </c>
      <c r="K47" s="1036">
        <f t="shared" si="22"/>
        <v>-1</v>
      </c>
      <c r="L47" s="1037">
        <f t="shared" si="23"/>
        <v>-1</v>
      </c>
      <c r="M47" s="1413"/>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545075.17972311052</v>
      </c>
      <c r="E50" s="657">
        <f>+Print_Mois!$D$313</f>
        <v>545075.17972311052</v>
      </c>
      <c r="F50" s="657">
        <f>+Print_Mois!$O$313</f>
        <v>499494.60000000003</v>
      </c>
      <c r="G50" s="659">
        <f t="shared" ref="G50:I59" si="25">+IFERROR($C50-D50,"")</f>
        <v>-545075.17972311052</v>
      </c>
      <c r="H50" s="658">
        <f t="shared" si="25"/>
        <v>-545075.17972311052</v>
      </c>
      <c r="I50" s="660">
        <f t="shared" si="25"/>
        <v>-499494.60000000003</v>
      </c>
      <c r="J50" s="668">
        <f t="shared" ref="J50:J59" si="26">+IFERROR(G50/ABS($D50),"")</f>
        <v>-1</v>
      </c>
      <c r="K50" s="669">
        <f t="shared" ref="K50:K59" si="27">+IFERROR(H50/ABS($E50),"")</f>
        <v>-1</v>
      </c>
      <c r="L50" s="670">
        <f t="shared" ref="L50:L59" si="28">+IFERROR(I50/ABS($F50),"")</f>
        <v>-1</v>
      </c>
      <c r="M50" s="1411" t="s">
        <v>3606</v>
      </c>
    </row>
    <row r="51" spans="2:13">
      <c r="B51" s="1045" t="s">
        <v>1962</v>
      </c>
      <c r="C51" s="1012">
        <f>+Print_Mois!$J$294</f>
        <v>0</v>
      </c>
      <c r="D51" s="1012">
        <f>+Print_Mois!$G$294</f>
        <v>149473.11647677055</v>
      </c>
      <c r="E51" s="1012">
        <f>+Print_Mois!$D$294</f>
        <v>149473.11647677055</v>
      </c>
      <c r="F51" s="1012">
        <f>+Print_Mois!$O$294</f>
        <v>111355.86</v>
      </c>
      <c r="G51" s="1013">
        <f t="shared" si="25"/>
        <v>-149473.11647677055</v>
      </c>
      <c r="H51" s="1014">
        <f t="shared" si="25"/>
        <v>-149473.11647677055</v>
      </c>
      <c r="I51" s="1015">
        <f t="shared" si="25"/>
        <v>-111355.86</v>
      </c>
      <c r="J51" s="1016">
        <f t="shared" si="26"/>
        <v>-1</v>
      </c>
      <c r="K51" s="1017">
        <f t="shared" si="27"/>
        <v>-1</v>
      </c>
      <c r="L51" s="1018">
        <f t="shared" si="28"/>
        <v>-1</v>
      </c>
      <c r="M51" s="1412"/>
    </row>
    <row r="52" spans="2:13">
      <c r="B52" s="1045" t="s">
        <v>1963</v>
      </c>
      <c r="C52" s="1012">
        <f>+Print_Mois!$J$296</f>
        <v>0</v>
      </c>
      <c r="D52" s="1012">
        <f>+Print_Mois!$G$296</f>
        <v>52760.337024139764</v>
      </c>
      <c r="E52" s="1012">
        <f>+Print_Mois!$D$296</f>
        <v>52760.337024139764</v>
      </c>
      <c r="F52" s="1012">
        <f>+Print_Mois!$O$296</f>
        <v>26438.95</v>
      </c>
      <c r="G52" s="1013">
        <f t="shared" si="25"/>
        <v>-52760.337024139764</v>
      </c>
      <c r="H52" s="1014">
        <f t="shared" si="25"/>
        <v>-52760.337024139764</v>
      </c>
      <c r="I52" s="1015">
        <f t="shared" si="25"/>
        <v>-26438.95</v>
      </c>
      <c r="J52" s="1016">
        <f t="shared" si="26"/>
        <v>-1</v>
      </c>
      <c r="K52" s="1017">
        <f t="shared" si="27"/>
        <v>-1</v>
      </c>
      <c r="L52" s="1018">
        <f t="shared" si="28"/>
        <v>-1</v>
      </c>
      <c r="M52" s="1412"/>
    </row>
    <row r="53" spans="2:13">
      <c r="B53" s="1045" t="s">
        <v>1979</v>
      </c>
      <c r="C53" s="1012">
        <f>+Print_Mois!$J$299</f>
        <v>0</v>
      </c>
      <c r="D53" s="1012">
        <f>+Print_Mois!$G$299</f>
        <v>56903.922574518627</v>
      </c>
      <c r="E53" s="1012">
        <f>+Print_Mois!$D$299</f>
        <v>56903.922574518627</v>
      </c>
      <c r="F53" s="1012">
        <f>+Print_Mois!$O$299</f>
        <v>66382.19</v>
      </c>
      <c r="G53" s="1013">
        <f t="shared" si="25"/>
        <v>-56903.922574518627</v>
      </c>
      <c r="H53" s="1014">
        <f t="shared" si="25"/>
        <v>-56903.922574518627</v>
      </c>
      <c r="I53" s="1015">
        <f t="shared" si="25"/>
        <v>-66382.19</v>
      </c>
      <c r="J53" s="1016">
        <f t="shared" si="26"/>
        <v>-1</v>
      </c>
      <c r="K53" s="1017">
        <f t="shared" si="27"/>
        <v>-1</v>
      </c>
      <c r="L53" s="1018">
        <f t="shared" si="28"/>
        <v>-1</v>
      </c>
      <c r="M53" s="1412"/>
    </row>
    <row r="54" spans="2:13">
      <c r="B54" s="1045" t="s">
        <v>1980</v>
      </c>
      <c r="C54" s="1012">
        <f>+Print_Mois!$J$306</f>
        <v>0</v>
      </c>
      <c r="D54" s="1012">
        <f>+Print_Mois!$G$306</f>
        <v>109688.00715738688</v>
      </c>
      <c r="E54" s="1012">
        <f>+Print_Mois!$D$306</f>
        <v>109688.00715738688</v>
      </c>
      <c r="F54" s="1012">
        <f>+Print_Mois!$O$306</f>
        <v>129190.53000000001</v>
      </c>
      <c r="G54" s="1013">
        <f t="shared" si="25"/>
        <v>-109688.00715738688</v>
      </c>
      <c r="H54" s="1014">
        <f t="shared" si="25"/>
        <v>-109688.00715738688</v>
      </c>
      <c r="I54" s="1015">
        <f t="shared" si="25"/>
        <v>-129190.53000000001</v>
      </c>
      <c r="J54" s="1016">
        <f t="shared" si="26"/>
        <v>-1</v>
      </c>
      <c r="K54" s="1017">
        <f t="shared" si="27"/>
        <v>-1</v>
      </c>
      <c r="L54" s="1018">
        <f t="shared" si="28"/>
        <v>-1</v>
      </c>
      <c r="M54" s="1412"/>
    </row>
    <row r="55" spans="2:13">
      <c r="B55" s="1045" t="s">
        <v>1981</v>
      </c>
      <c r="C55" s="1012">
        <f>+C50-SUM(C51:C54)</f>
        <v>0</v>
      </c>
      <c r="D55" s="1012">
        <f t="shared" ref="D55:F55" si="29">+D50-SUM(D51:D54)</f>
        <v>176249.79649029468</v>
      </c>
      <c r="E55" s="1012">
        <f t="shared" si="29"/>
        <v>176249.79649029468</v>
      </c>
      <c r="F55" s="1012">
        <f t="shared" si="29"/>
        <v>166127.07</v>
      </c>
      <c r="G55" s="1013">
        <f t="shared" si="25"/>
        <v>-176249.79649029468</v>
      </c>
      <c r="H55" s="1014">
        <f t="shared" si="25"/>
        <v>-176249.79649029468</v>
      </c>
      <c r="I55" s="1015">
        <f t="shared" si="25"/>
        <v>-166127.07</v>
      </c>
      <c r="J55" s="1016">
        <f t="shared" si="26"/>
        <v>-1</v>
      </c>
      <c r="K55" s="1017">
        <f t="shared" si="27"/>
        <v>-1</v>
      </c>
      <c r="L55" s="1018">
        <f t="shared" si="28"/>
        <v>-1</v>
      </c>
      <c r="M55" s="1412"/>
    </row>
    <row r="56" spans="2:13">
      <c r="B56" s="632" t="s">
        <v>1973</v>
      </c>
      <c r="C56" s="657">
        <f>+Print_Mois!$L$313</f>
        <v>0</v>
      </c>
      <c r="D56" s="657">
        <f>+Print_Mois!$I$313</f>
        <v>154499.15495783626</v>
      </c>
      <c r="E56" s="657">
        <f>+Print_Mois!$F$313</f>
        <v>154499.15495783626</v>
      </c>
      <c r="F56" s="657">
        <f>+Print_Mois!$Q$313</f>
        <v>137147.87000000002</v>
      </c>
      <c r="G56" s="659">
        <f t="shared" si="25"/>
        <v>-154499.15495783626</v>
      </c>
      <c r="H56" s="658">
        <f t="shared" si="25"/>
        <v>-154499.15495783626</v>
      </c>
      <c r="I56" s="660">
        <f t="shared" si="25"/>
        <v>-137147.87000000002</v>
      </c>
      <c r="J56" s="671">
        <f t="shared" si="26"/>
        <v>-1</v>
      </c>
      <c r="K56" s="672">
        <f t="shared" si="27"/>
        <v>-1</v>
      </c>
      <c r="L56" s="673">
        <f t="shared" si="28"/>
        <v>-1</v>
      </c>
      <c r="M56" s="1412"/>
    </row>
    <row r="57" spans="2:13">
      <c r="B57" s="633" t="s">
        <v>1974</v>
      </c>
      <c r="C57" s="1012" t="e">
        <f>+Print_Mois!$J$294/Print_Mois!$J$171</f>
        <v>#DIV/0!</v>
      </c>
      <c r="D57" s="1012">
        <f>+IFERROR(Print_Mois!$G$294/Print_Mois!$G$171,"")</f>
        <v>139.40758293248766</v>
      </c>
      <c r="E57" s="1012">
        <f>+IFERROR(Print_Mois!$D$294/Print_Mois!$D$171,"")</f>
        <v>139.40758293248766</v>
      </c>
      <c r="F57" s="1012">
        <f>+Print_Mois!$O$294/Print_Mois!$O$171</f>
        <v>101.88093321134492</v>
      </c>
      <c r="G57" s="1013" t="str">
        <f t="shared" si="25"/>
        <v/>
      </c>
      <c r="H57" s="1014" t="str">
        <f t="shared" si="25"/>
        <v/>
      </c>
      <c r="I57" s="1015" t="str">
        <f t="shared" si="25"/>
        <v/>
      </c>
      <c r="J57" s="1016" t="str">
        <f t="shared" si="26"/>
        <v/>
      </c>
      <c r="K57" s="1017" t="str">
        <f t="shared" si="27"/>
        <v/>
      </c>
      <c r="L57" s="1018" t="str">
        <f t="shared" si="28"/>
        <v/>
      </c>
      <c r="M57" s="1412"/>
    </row>
    <row r="58" spans="2:13">
      <c r="B58" s="633" t="s">
        <v>1975</v>
      </c>
      <c r="C58" s="1012" t="e">
        <f>+Print_Mois!$J$296/Print_Mois!$J$174</f>
        <v>#DIV/0!</v>
      </c>
      <c r="D58" s="1012">
        <f>+IFERROR(Print_Mois!$G$296/Print_Mois!$G$174,"")</f>
        <v>179.65966255753543</v>
      </c>
      <c r="E58" s="1012">
        <f>+IFERROR(Print_Mois!$D$296/Print_Mois!$D$174,"")</f>
        <v>179.65966255753543</v>
      </c>
      <c r="F58" s="1012">
        <f>+Print_Mois!$O$296/Print_Mois!$O$174</f>
        <v>70.881903485254696</v>
      </c>
      <c r="G58" s="1013" t="str">
        <f t="shared" si="25"/>
        <v/>
      </c>
      <c r="H58" s="1014" t="str">
        <f t="shared" si="25"/>
        <v/>
      </c>
      <c r="I58" s="1015" t="str">
        <f t="shared" si="25"/>
        <v/>
      </c>
      <c r="J58" s="1016" t="str">
        <f t="shared" si="26"/>
        <v/>
      </c>
      <c r="K58" s="1017" t="str">
        <f t="shared" si="27"/>
        <v/>
      </c>
      <c r="L58" s="1018" t="str">
        <f t="shared" si="28"/>
        <v/>
      </c>
      <c r="M58" s="1412"/>
    </row>
    <row r="59" spans="2:13">
      <c r="B59" s="661" t="s">
        <v>114</v>
      </c>
      <c r="C59" s="1044">
        <f>+Print_Mois!$L$319</f>
        <v>0</v>
      </c>
      <c r="D59" s="1044">
        <f>+Print_Mois!$I$319</f>
        <v>24550.484569134096</v>
      </c>
      <c r="E59" s="1044">
        <f>+Print_Mois!$F$319</f>
        <v>24550.484569134096</v>
      </c>
      <c r="F59" s="1044">
        <f>+Print_Mois!$Q$319</f>
        <v>24094.25</v>
      </c>
      <c r="G59" s="1032">
        <f t="shared" si="25"/>
        <v>-24550.484569134096</v>
      </c>
      <c r="H59" s="1033">
        <f t="shared" si="25"/>
        <v>-24550.484569134096</v>
      </c>
      <c r="I59" s="1034">
        <f t="shared" si="25"/>
        <v>-24094.25</v>
      </c>
      <c r="J59" s="1035">
        <f t="shared" si="26"/>
        <v>-1</v>
      </c>
      <c r="K59" s="1036">
        <f t="shared" si="27"/>
        <v>-1</v>
      </c>
      <c r="L59" s="1037">
        <f t="shared" si="28"/>
        <v>-1</v>
      </c>
      <c r="M59" s="1413"/>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5" t="s">
        <v>1965</v>
      </c>
    </row>
    <row r="62" spans="2:13" ht="15" customHeight="1">
      <c r="B62" s="1046" t="s">
        <v>1983</v>
      </c>
      <c r="C62" s="1040" t="e">
        <f>+Print_Mois!$AF$432/Print_Mois!$AF$406</f>
        <v>#DIV/0!</v>
      </c>
      <c r="D62" s="1040">
        <f>+Print_Mois!$AC$432/Print_Mois!$AC$406</f>
        <v>0.39252473078751859</v>
      </c>
      <c r="E62" s="1040">
        <f>+Print_Mois!$Z$432/Print_Mois!$Z$406</f>
        <v>0.39252473078751859</v>
      </c>
      <c r="F62" s="1040">
        <f>+Print_Mois!$AL$432/Print_Mois!$AL$406</f>
        <v>0.32900396508387553</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5" t="s">
        <v>3607</v>
      </c>
    </row>
    <row r="63" spans="2:13">
      <c r="B63" s="1357" t="s">
        <v>1984</v>
      </c>
      <c r="C63" s="1358">
        <v>45</v>
      </c>
      <c r="D63" s="1358">
        <v>52.75</v>
      </c>
      <c r="E63" s="1358">
        <v>52.75</v>
      </c>
      <c r="F63" s="1358">
        <v>36</v>
      </c>
      <c r="G63" s="1047">
        <f t="shared" si="30"/>
        <v>-7.75</v>
      </c>
      <c r="H63" s="1048">
        <f t="shared" si="30"/>
        <v>-7.75</v>
      </c>
      <c r="I63" s="1049">
        <f t="shared" si="30"/>
        <v>9</v>
      </c>
      <c r="J63" s="1016">
        <f t="shared" si="31"/>
        <v>-0.14691943127962084</v>
      </c>
      <c r="K63" s="1017">
        <f t="shared" si="32"/>
        <v>-0.14691943127962084</v>
      </c>
      <c r="L63" s="1018">
        <f t="shared" si="33"/>
        <v>0.25</v>
      </c>
      <c r="M63" s="1416"/>
    </row>
    <row r="64" spans="2:13">
      <c r="B64" s="1046" t="s">
        <v>1967</v>
      </c>
      <c r="C64" s="1012">
        <f>Q17+Print_Mois!$AF$413+Print_Mois!$AF$433</f>
        <v>0</v>
      </c>
      <c r="D64" s="1012">
        <f>+Print_Mois!$AC$413+Print_Mois!$AC$433</f>
        <v>25480.484957304947</v>
      </c>
      <c r="E64" s="1012">
        <f>+Print_Mois!$Z$413+Print_Mois!$Z$433</f>
        <v>25480.484957304947</v>
      </c>
      <c r="F64" s="1012">
        <f>+Print_Mois!$AL$413+Print_Mois!$AL$433</f>
        <v>32302.049999999996</v>
      </c>
      <c r="G64" s="1013">
        <f t="shared" si="30"/>
        <v>-25480.484957304947</v>
      </c>
      <c r="H64" s="1014">
        <f t="shared" si="30"/>
        <v>-25480.484957304947</v>
      </c>
      <c r="I64" s="1015">
        <f t="shared" si="30"/>
        <v>-32302.049999999996</v>
      </c>
      <c r="J64" s="1016">
        <f t="shared" si="31"/>
        <v>-1</v>
      </c>
      <c r="K64" s="1017">
        <f t="shared" si="32"/>
        <v>-1</v>
      </c>
      <c r="L64" s="1018">
        <f t="shared" si="33"/>
        <v>-1</v>
      </c>
      <c r="M64" s="1416"/>
    </row>
    <row r="65" spans="2:13">
      <c r="B65" s="1046" t="s">
        <v>1986</v>
      </c>
      <c r="C65" s="1012">
        <f>+Print_Mois!$AF$451-Print_Mois!$AF$433</f>
        <v>0</v>
      </c>
      <c r="D65" s="1012">
        <f>+Print_Mois!$AC$451-Print_Mois!$AC$433</f>
        <v>107355.56813360775</v>
      </c>
      <c r="E65" s="1012">
        <f>+Print_Mois!$Z$451-Print_Mois!$Z$433</f>
        <v>107355.56813360775</v>
      </c>
      <c r="F65" s="1012">
        <f>+Print_Mois!$AL$451-Print_Mois!$AL$433</f>
        <v>91534.400000000023</v>
      </c>
      <c r="G65" s="1013">
        <f t="shared" si="30"/>
        <v>-107355.56813360775</v>
      </c>
      <c r="H65" s="1014">
        <f t="shared" si="30"/>
        <v>-107355.56813360775</v>
      </c>
      <c r="I65" s="1015">
        <f t="shared" si="30"/>
        <v>-91534.400000000023</v>
      </c>
      <c r="J65" s="1016">
        <f t="shared" si="31"/>
        <v>-1</v>
      </c>
      <c r="K65" s="1017">
        <f t="shared" si="32"/>
        <v>-1</v>
      </c>
      <c r="L65" s="1018">
        <f t="shared" si="33"/>
        <v>-1</v>
      </c>
      <c r="M65" s="1416"/>
    </row>
    <row r="66" spans="2:13">
      <c r="B66" s="1046" t="s">
        <v>1985</v>
      </c>
      <c r="C66" s="1012">
        <f>+Print_Mois!$AF$414</f>
        <v>0</v>
      </c>
      <c r="D66" s="1012">
        <f>+Print_Mois!$AC$414</f>
        <v>6147.6755279524614</v>
      </c>
      <c r="E66" s="1012">
        <f>+Print_Mois!$Z$414</f>
        <v>6147.6755279524614</v>
      </c>
      <c r="F66" s="1012">
        <f>+Print_Mois!$AL$414</f>
        <v>12265.41</v>
      </c>
      <c r="G66" s="1013">
        <f t="shared" si="30"/>
        <v>-6147.6755279524614</v>
      </c>
      <c r="H66" s="1014">
        <f t="shared" si="30"/>
        <v>-6147.6755279524614</v>
      </c>
      <c r="I66" s="1015">
        <f t="shared" si="30"/>
        <v>-12265.41</v>
      </c>
      <c r="J66" s="1016">
        <f t="shared" si="31"/>
        <v>-1</v>
      </c>
      <c r="K66" s="1017">
        <f t="shared" si="32"/>
        <v>-1</v>
      </c>
      <c r="L66" s="1018">
        <f t="shared" si="33"/>
        <v>-1</v>
      </c>
      <c r="M66" s="1416"/>
    </row>
    <row r="67" spans="2:13" ht="33" customHeight="1">
      <c r="B67" s="1050" t="s">
        <v>1988</v>
      </c>
      <c r="C67" s="1044">
        <f>+Print_Mois!$AF$480-C32-C15</f>
        <v>0</v>
      </c>
      <c r="D67" s="1044">
        <f>+Print_Mois!$AC$480-D32-D15</f>
        <v>26110</v>
      </c>
      <c r="E67" s="1044">
        <f>+Print_Mois!$Z$480-E32-E15</f>
        <v>26110</v>
      </c>
      <c r="F67" s="1044">
        <f>+Print_Mois!$AL$480-F32-F15</f>
        <v>31096.090000000011</v>
      </c>
      <c r="G67" s="1032">
        <f t="shared" si="30"/>
        <v>-26110</v>
      </c>
      <c r="H67" s="1033">
        <f t="shared" si="30"/>
        <v>-26110</v>
      </c>
      <c r="I67" s="1034">
        <f t="shared" si="30"/>
        <v>-31096.090000000011</v>
      </c>
      <c r="J67" s="1035">
        <f t="shared" si="31"/>
        <v>-1</v>
      </c>
      <c r="K67" s="1036">
        <f t="shared" si="32"/>
        <v>-1</v>
      </c>
      <c r="L67" s="1037">
        <f t="shared" si="33"/>
        <v>-1</v>
      </c>
      <c r="M67" s="1417"/>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175898.12943821127</v>
      </c>
      <c r="E70" s="1051">
        <f>+Print_Mois!$Z$418-Print_Mois!$Z$414+Print_Mois!$Z$433+Print_Mois!$Z$434+Print_Mois!$Z$435</f>
        <v>175898.12943821127</v>
      </c>
      <c r="F70" s="1051">
        <f>+Print_Mois!$AL$418-Print_Mois!$AL$414+Print_Mois!$AL$433+Print_Mois!$AL$434+Print_Mois!$AL$435</f>
        <v>235990.97999999998</v>
      </c>
      <c r="G70" s="970">
        <f t="shared" ref="G70:I77" si="34">+IFERROR($C70-D70,"")</f>
        <v>-175898.12943821127</v>
      </c>
      <c r="H70" s="971">
        <f t="shared" si="34"/>
        <v>-175898.12943821127</v>
      </c>
      <c r="I70" s="972">
        <f t="shared" si="34"/>
        <v>-235990.97999999998</v>
      </c>
      <c r="J70" s="1016">
        <f t="shared" ref="J70:J77" si="35">+IFERROR(G70/ABS($D70),"")</f>
        <v>-1</v>
      </c>
      <c r="K70" s="1017">
        <f t="shared" ref="K70:K77" si="36">+IFERROR(H70/ABS($E70),"")</f>
        <v>-1</v>
      </c>
      <c r="L70" s="1018">
        <f t="shared" ref="L70:L77" si="37">+IFERROR(I70/ABS($F70),"")</f>
        <v>-1</v>
      </c>
      <c r="M70" s="1411" t="s">
        <v>3608</v>
      </c>
    </row>
    <row r="71" spans="2:13">
      <c r="B71" s="969" t="s">
        <v>2870</v>
      </c>
      <c r="C71" s="1040" t="e">
        <f>+C70/Print_Mois!$AF$406</f>
        <v>#DIV/0!</v>
      </c>
      <c r="D71" s="1040">
        <f>+D70/Print_Mois!$AC$406</f>
        <v>0.22752509124472206</v>
      </c>
      <c r="E71" s="1040">
        <f>+E70/Print_Mois!$Z$406</f>
        <v>0.22752509124472206</v>
      </c>
      <c r="F71" s="1040">
        <f>+F70/Print_Mois!$AL$406</f>
        <v>0.26969452396451443</v>
      </c>
      <c r="G71" s="973" t="str">
        <f t="shared" si="34"/>
        <v/>
      </c>
      <c r="H71" s="974" t="str">
        <f t="shared" si="34"/>
        <v/>
      </c>
      <c r="I71" s="975" t="str">
        <f t="shared" si="34"/>
        <v/>
      </c>
      <c r="J71" s="1016" t="str">
        <f t="shared" si="35"/>
        <v/>
      </c>
      <c r="K71" s="1017" t="str">
        <f t="shared" si="36"/>
        <v/>
      </c>
      <c r="L71" s="1018" t="str">
        <f t="shared" si="37"/>
        <v/>
      </c>
      <c r="M71" s="1412"/>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427461.10412262729</v>
      </c>
      <c r="E72" s="1012">
        <f>+Print_Mois!$Z$465+Print_Mois!$Z$432+Print_Mois!$Z$436+Print_Mois!$Z$438+SUM(Print_Mois!$Z$439:$Z$447)+Print_Mois!$Z$437</f>
        <v>427461.10412262729</v>
      </c>
      <c r="F72" s="1012">
        <f>+Print_Mois!$AL$465+Print_Mois!$AL$432+Print_Mois!$AL$436+Print_Mois!$AL$438+SUM(Print_Mois!$AL$439:$AL$447)+Print_Mois!$AL$437</f>
        <v>400576.60000000003</v>
      </c>
      <c r="G72" s="976">
        <f t="shared" si="34"/>
        <v>-427461.10412262729</v>
      </c>
      <c r="H72" s="977">
        <f t="shared" si="34"/>
        <v>-427461.10412262729</v>
      </c>
      <c r="I72" s="978">
        <f t="shared" si="34"/>
        <v>-400576.60000000003</v>
      </c>
      <c r="J72" s="1016">
        <f t="shared" si="35"/>
        <v>-1</v>
      </c>
      <c r="K72" s="1017">
        <f>+IFERROR(H72/ABS($E72),"")</f>
        <v>-1</v>
      </c>
      <c r="L72" s="1018">
        <f t="shared" si="37"/>
        <v>-1</v>
      </c>
      <c r="M72" s="1412"/>
    </row>
    <row r="73" spans="2:13">
      <c r="B73" s="969" t="s">
        <v>2872</v>
      </c>
      <c r="C73" s="1040" t="e">
        <f>+C72/Print_Mois!$AF$406</f>
        <v>#DIV/0!</v>
      </c>
      <c r="D73" s="1040">
        <f>+D72/Print_Mois!$AC$406</f>
        <v>0.55292303010666655</v>
      </c>
      <c r="E73" s="1040">
        <f>+E72/Print_Mois!$Z$406</f>
        <v>0.55292303010666655</v>
      </c>
      <c r="F73" s="1040">
        <f>+F72/Print_Mois!$AL$406</f>
        <v>0.45778578252577162</v>
      </c>
      <c r="G73" s="973" t="str">
        <f t="shared" si="34"/>
        <v/>
      </c>
      <c r="H73" s="974" t="str">
        <f t="shared" si="34"/>
        <v/>
      </c>
      <c r="I73" s="975" t="str">
        <f t="shared" si="34"/>
        <v/>
      </c>
      <c r="J73" s="1016" t="str">
        <f t="shared" si="35"/>
        <v/>
      </c>
      <c r="K73" s="1017" t="str">
        <f t="shared" si="36"/>
        <v/>
      </c>
      <c r="L73" s="1018" t="str">
        <f t="shared" si="37"/>
        <v/>
      </c>
      <c r="M73" s="1412"/>
    </row>
    <row r="74" spans="2:13" s="983" customFormat="1">
      <c r="B74" s="667" t="s">
        <v>2873</v>
      </c>
      <c r="C74" s="657">
        <f>+Print_Mois!$AF$482+Print_Mois!$AF$414</f>
        <v>0</v>
      </c>
      <c r="D74" s="657">
        <f>+Print_Mois!$AC$482+Print_Mois!$AC$414</f>
        <v>305516.14998872177</v>
      </c>
      <c r="E74" s="657">
        <f>+Print_Mois!$Z$482+Print_Mois!$Z$414</f>
        <v>305516.14998872177</v>
      </c>
      <c r="F74" s="657">
        <f>+Print_Mois!$AL$482+Print_Mois!$AL$414</f>
        <v>358926.32999999943</v>
      </c>
      <c r="G74" s="659">
        <f t="shared" si="34"/>
        <v>-305516.14998872177</v>
      </c>
      <c r="H74" s="658">
        <f t="shared" si="34"/>
        <v>-305516.14998872177</v>
      </c>
      <c r="I74" s="660">
        <f t="shared" si="34"/>
        <v>-358926.32999999943</v>
      </c>
      <c r="J74" s="671">
        <f t="shared" si="35"/>
        <v>-1</v>
      </c>
      <c r="K74" s="672">
        <f t="shared" si="36"/>
        <v>-1</v>
      </c>
      <c r="L74" s="673">
        <f t="shared" si="37"/>
        <v>-1</v>
      </c>
      <c r="M74" s="1412"/>
    </row>
    <row r="75" spans="2:13">
      <c r="B75" s="633" t="s">
        <v>2874</v>
      </c>
      <c r="C75" s="1052" t="e">
        <f>+C74/Print_Mois!$AF$405</f>
        <v>#DIV/0!</v>
      </c>
      <c r="D75" s="1052">
        <f>+D74/Print_Mois!$AC$405</f>
        <v>6.2555621947284826E-2</v>
      </c>
      <c r="E75" s="1052">
        <f>+E74/Print_Mois!$Z$405</f>
        <v>6.2555621947284826E-2</v>
      </c>
      <c r="F75" s="1052">
        <f>+F74/Print_Mois!$AL$405</f>
        <v>5.4116198582670236E-2</v>
      </c>
      <c r="G75" s="973" t="str">
        <f t="shared" si="34"/>
        <v/>
      </c>
      <c r="H75" s="974" t="str">
        <f t="shared" si="34"/>
        <v/>
      </c>
      <c r="I75" s="975" t="str">
        <f t="shared" si="34"/>
        <v/>
      </c>
      <c r="J75" s="1016" t="str">
        <f t="shared" si="35"/>
        <v/>
      </c>
      <c r="K75" s="1017" t="str">
        <f t="shared" si="36"/>
        <v/>
      </c>
      <c r="L75" s="1018" t="str">
        <f t="shared" si="37"/>
        <v/>
      </c>
      <c r="M75" s="1412"/>
    </row>
    <row r="76" spans="2:13" s="983" customFormat="1">
      <c r="B76" s="667" t="s">
        <v>2875</v>
      </c>
      <c r="C76" s="657">
        <f>Q9+Print_Mois!$AF$497</f>
        <v>0</v>
      </c>
      <c r="D76" s="657">
        <f>+Print_Mois!$AC$497</f>
        <v>291491.8844607693</v>
      </c>
      <c r="E76" s="657">
        <f>+Print_Mois!$Z$497</f>
        <v>291491.8844607693</v>
      </c>
      <c r="F76" s="657">
        <f>+Print_Mois!$AL$497</f>
        <v>339872.82999999943</v>
      </c>
      <c r="G76" s="659">
        <f t="shared" si="34"/>
        <v>-291491.8844607693</v>
      </c>
      <c r="H76" s="658">
        <f t="shared" si="34"/>
        <v>-291491.8844607693</v>
      </c>
      <c r="I76" s="660">
        <f>+IFERROR($C76-F76,"")</f>
        <v>-339872.82999999943</v>
      </c>
      <c r="J76" s="671">
        <f t="shared" si="35"/>
        <v>-1</v>
      </c>
      <c r="K76" s="672">
        <f t="shared" si="36"/>
        <v>-1</v>
      </c>
      <c r="L76" s="673">
        <f t="shared" si="37"/>
        <v>-1</v>
      </c>
      <c r="M76" s="1412"/>
    </row>
    <row r="77" spans="2:13">
      <c r="B77" s="979" t="s">
        <v>2876</v>
      </c>
      <c r="C77" s="1053" t="e">
        <f>+C76/Print_Mois!$AF$405</f>
        <v>#DIV/0!</v>
      </c>
      <c r="D77" s="1053">
        <f>+D76/Print_Mois!$AC$405</f>
        <v>5.968409894436888E-2</v>
      </c>
      <c r="E77" s="1053">
        <f>+E76/Print_Mois!$Z$405</f>
        <v>5.968409894436888E-2</v>
      </c>
      <c r="F77" s="1053">
        <f>+F76/Print_Mois!$AL$405</f>
        <v>5.1243455895626601E-2</v>
      </c>
      <c r="G77" s="980" t="str">
        <f t="shared" si="34"/>
        <v/>
      </c>
      <c r="H77" s="981" t="str">
        <f t="shared" si="34"/>
        <v/>
      </c>
      <c r="I77" s="982" t="str">
        <f t="shared" si="34"/>
        <v/>
      </c>
      <c r="J77" s="1035" t="str">
        <f t="shared" si="35"/>
        <v/>
      </c>
      <c r="K77" s="1036" t="str">
        <f t="shared" si="36"/>
        <v/>
      </c>
      <c r="L77" s="1037" t="str">
        <f t="shared" si="37"/>
        <v/>
      </c>
      <c r="M77" s="1413"/>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opLeftCell="C451" zoomScale="70" zoomScaleNormal="70" workbookViewId="0">
      <pane xSplit="1" topLeftCell="U1" activePane="topRight" state="frozen"/>
      <selection activeCell="C1" sqref="C1"/>
      <selection pane="topRight" activeCell="AL500" sqref="AL500"/>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3.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Novembre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3" t="s">
        <v>3351</v>
      </c>
      <c r="W2" s="1328"/>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1329" t="s">
        <v>2863</v>
      </c>
      <c r="W3" s="1330">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29" t="s">
        <v>2864</v>
      </c>
      <c r="W4" s="1330">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2738366.6777844764</v>
      </c>
      <c r="G5" s="416"/>
      <c r="H5" s="416"/>
      <c r="I5" s="620">
        <f>+INDEX('Budget révisé'!$A$2:$AO$500,MATCH($A5,'Budget révisé'!$A$2:$A$500,0),MATCH(I$2,'Budget révisé'!$A$2:$AO$2,0))</f>
        <v>2738366.6777844764</v>
      </c>
      <c r="J5" s="304"/>
      <c r="K5" s="178"/>
      <c r="L5" s="171">
        <f>-SUMIFS(BV_Data_An_Cour!$P:$P,BV_Data_An_Cour!$Y:$Y,"Oui",BV_Data_An_Cour!$V:$V,$B5)</f>
        <v>0</v>
      </c>
      <c r="M5" s="417"/>
      <c r="N5" s="418"/>
      <c r="O5" s="304"/>
      <c r="P5" s="178"/>
      <c r="Q5" s="171">
        <f>-SUMIFS(BV_Data_An_Prec!$O:$O,BV_Data_An_Prec!$X:$X,"Oui",BV_Data_An_Prec!$U:$U,$B5)</f>
        <v>3601325.0199999996</v>
      </c>
      <c r="R5" s="417"/>
      <c r="S5" s="419"/>
      <c r="T5" s="216"/>
      <c r="U5" s="216"/>
      <c r="V5" s="1329" t="s">
        <v>2865</v>
      </c>
      <c r="W5" s="1330">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13.966265060240964</v>
      </c>
      <c r="E6" s="173">
        <f>IF(D6=0,0,F6/D6)</f>
        <v>1450.6297619047618</v>
      </c>
      <c r="F6" s="173">
        <f>+INDEX('Budget original'!$A$2:$AO$500,MATCH($A6,'Budget original'!$A$2:$A$500,0),MATCH(F$2,'Budget original'!$A$2:$AO$2,0))</f>
        <v>20259.879759036143</v>
      </c>
      <c r="G6" s="176">
        <f>+INDEX('Budget original'!$A$2:$AO$500,MATCH($A6,'Budget original'!$A$2:$A$500,0),MATCH(G$2,'Budget original'!$A$2:$AO$2,0))</f>
        <v>13.966265060240964</v>
      </c>
      <c r="H6" s="173">
        <f>IF(G6=0,0,I6/G6)</f>
        <v>1450.6297619047618</v>
      </c>
      <c r="I6" s="173">
        <f>+INDEX('Budget révisé'!$A$2:$AO$500,MATCH($A6,'Budget révisé'!$A$2:$A$500,0),MATCH(I$2,'Budget révisé'!$A$2:$AO$2,0))</f>
        <v>20259.879759036143</v>
      </c>
      <c r="J6" s="176">
        <f>-SUMIFS(BV_Data_An_Cour!$P:$P,BV_Data_An_Cour!$V:$V,$B6,BV_Data_An_Cour!$W:$W,$C6,BV_Data_An_Cour!$X:$X,J$2)</f>
        <v>0</v>
      </c>
      <c r="K6" s="173">
        <f>IF(J6=0,0,L6/J6)</f>
        <v>0</v>
      </c>
      <c r="L6" s="548">
        <f>-SUMIFS(BV_Data_An_Cour!$P:$P,BV_Data_An_Cour!$V:$V,$B6,BV_Data_An_Cour!$W:$W,$C6,BV_Data_An_Cour!$X:$X,L$2)</f>
        <v>0</v>
      </c>
      <c r="M6" s="176">
        <f t="shared" ref="M6" si="0">J6-G6</f>
        <v>-13.966265060240964</v>
      </c>
      <c r="N6" s="174">
        <f>L6-I6</f>
        <v>-20259.879759036143</v>
      </c>
      <c r="O6" s="1011">
        <f>-SUMIFS(BV_Data_An_Prec!$O:$O,BV_Data_An_Prec!$U:$U,$B6,BV_Data_An_Prec!$V:$V,$C6,BV_Data_An_Prec!$W:$W,O$2)</f>
        <v>9</v>
      </c>
      <c r="P6" s="173">
        <f>IF(O6=0,0,Q6/O6)</f>
        <v>1968.0977777777766</v>
      </c>
      <c r="Q6" s="548">
        <f>-SUMIFS(BV_Data_An_Prec!$O:$O,BV_Data_An_Prec!$U:$U,$B6,BV_Data_An_Prec!$V:$V,$C6,BV_Data_An_Prec!$W:$W,Q$2)</f>
        <v>17712.87999999999</v>
      </c>
      <c r="R6" s="176">
        <f t="shared" ref="R6" si="1">J6-O6</f>
        <v>-9</v>
      </c>
      <c r="S6" s="393">
        <f t="shared" ref="S6" si="2">L6-Q6</f>
        <v>-17712.87999999999</v>
      </c>
      <c r="T6" s="216"/>
      <c r="U6" s="216"/>
      <c r="V6" s="1329" t="s">
        <v>2866</v>
      </c>
      <c r="W6" s="1330">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48.216867469879517</v>
      </c>
      <c r="E7" s="173">
        <f t="shared" ref="E7:E12" si="3">IF(D7=0,0,F7/D7)</f>
        <v>2081.8275862068967</v>
      </c>
      <c r="F7" s="173">
        <f>+INDEX('Budget original'!$A$2:$AO$500,MATCH($A7,'Budget original'!$A$2:$A$500,0),MATCH(F$2,'Budget original'!$A$2:$AO$2,0))</f>
        <v>100379.20481927712</v>
      </c>
      <c r="G7" s="176">
        <f>+INDEX('Budget original'!$A$2:$AO$500,MATCH($A7,'Budget original'!$A$2:$A$500,0),MATCH(G$2,'Budget original'!$A$2:$AO$2,0))</f>
        <v>48.216867469879517</v>
      </c>
      <c r="H7" s="173">
        <f t="shared" ref="H7:H12" si="4">IF(G7=0,0,I7/G7)</f>
        <v>2081.8275862068967</v>
      </c>
      <c r="I7" s="173">
        <f>+INDEX('Budget révisé'!$A$2:$AO$500,MATCH($A7,'Budget révisé'!$A$2:$A$500,0),MATCH(I$2,'Budget révisé'!$A$2:$AO$2,0))</f>
        <v>100379.20481927712</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-48.216867469879517</v>
      </c>
      <c r="N7" s="174">
        <f t="shared" ref="N7:N12" si="7">L7-I7</f>
        <v>-100379.20481927712</v>
      </c>
      <c r="O7" s="176">
        <f>-SUMIFS(BV_Data_An_Prec!$O:$O,BV_Data_An_Prec!$U:$U,$B7,BV_Data_An_Prec!$V:$V,$C7,BV_Data_An_Prec!$W:$W,O$2)</f>
        <v>55</v>
      </c>
      <c r="P7" s="173">
        <f t="shared" ref="P7:P12" si="8">IF(O7=0,0,Q7/O7)</f>
        <v>2649.8561818181747</v>
      </c>
      <c r="Q7" s="548">
        <f>-SUMIFS(BV_Data_An_Prec!$O:$O,BV_Data_An_Prec!$U:$U,$B7,BV_Data_An_Prec!$V:$V,$C7,BV_Data_An_Prec!$W:$W,Q$2)</f>
        <v>145742.08999999962</v>
      </c>
      <c r="R7" s="176">
        <f t="shared" ref="R7:R12" si="9">J7-O7</f>
        <v>-55</v>
      </c>
      <c r="S7" s="393">
        <f t="shared" ref="S7:S12" si="10">L7-Q7</f>
        <v>-145742.08999999962</v>
      </c>
      <c r="T7" s="216"/>
      <c r="U7" s="216"/>
      <c r="V7" s="1329" t="s">
        <v>2867</v>
      </c>
      <c r="W7" s="1330">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1"/>
      <c r="W8" s="1332">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62.183132530120481</v>
      </c>
      <c r="E13" s="395">
        <f>IF(D13&lt;=0,0,F13/D13)</f>
        <v>1940.061229946524</v>
      </c>
      <c r="F13" s="396">
        <f>+SUM(F6:F12)</f>
        <v>120639.08457831325</v>
      </c>
      <c r="G13" s="397">
        <f>+SUM(G6:G12)</f>
        <v>62.183132530120481</v>
      </c>
      <c r="H13" s="395">
        <f>IF(G13&lt;=0,0,I13/G13)</f>
        <v>1940.061229946524</v>
      </c>
      <c r="I13" s="396">
        <f>+SUM(I6:I12)</f>
        <v>120639.08457831325</v>
      </c>
      <c r="J13" s="1206">
        <f>+SUM(J6:J12)</f>
        <v>0</v>
      </c>
      <c r="K13" s="395">
        <f>IF(J13&lt;=0,0,L13/J13)</f>
        <v>0</v>
      </c>
      <c r="L13" s="396">
        <f>+SUM(L6:L12)</f>
        <v>0</v>
      </c>
      <c r="M13" s="397">
        <f>+SUM(M6:M12)</f>
        <v>-62.183132530120481</v>
      </c>
      <c r="N13" s="396">
        <f>+SUM(N6:N12)</f>
        <v>-120639.08457831325</v>
      </c>
      <c r="O13" s="397">
        <f>+SUM(O6:O12)</f>
        <v>64</v>
      </c>
      <c r="P13" s="395">
        <f>IF(O13&lt;=0,0,Q13/O13)</f>
        <v>2553.9839062499941</v>
      </c>
      <c r="Q13" s="396">
        <f>+SUM(Q6:Q12)</f>
        <v>163454.96999999962</v>
      </c>
      <c r="R13" s="397">
        <f>+SUM(R6:R12)</f>
        <v>-64</v>
      </c>
      <c r="S13" s="398">
        <f>+SUM(S6:S12)</f>
        <v>-163454.96999999962</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5.8192771084337345</v>
      </c>
      <c r="E15" s="178">
        <f t="shared" ref="E15" si="12">IF(D15=0,0,F15/D15)</f>
        <v>1386.1016187312014</v>
      </c>
      <c r="F15" s="171">
        <f>+INDEX('Budget original'!$A$2:$AO$500,MATCH($A15,'Budget original'!$A$2:$A$500,0),MATCH(F$2,'Budget original'!$A$2:$AO$2,0))</f>
        <v>8066.1094198454239</v>
      </c>
      <c r="G15" s="177">
        <f>+INDEX('Budget original'!$A$2:$AO$500,MATCH($A15,'Budget original'!$A$2:$A$500,0),MATCH(G$2,'Budget original'!$A$2:$AO$2,0))</f>
        <v>5.8192771084337345</v>
      </c>
      <c r="H15" s="401">
        <f t="shared" ref="H15" si="13">IF(G15=0,0,I15/G15)</f>
        <v>1386.1016187312014</v>
      </c>
      <c r="I15" s="399">
        <f>+INDEX('Budget révisé'!$A$2:$AO$500,MATCH($A15,'Budget révisé'!$A$2:$A$500,0),MATCH(I$2,'Budget révisé'!$A$2:$AO$2,0))</f>
        <v>8066.1094198454239</v>
      </c>
      <c r="J15" s="1207">
        <f>-SUMIFS(BV_Data_An_Cour!$P:$P,BV_Data_An_Cour!$V:$V,$B15,BV_Data_An_Cour!$W:$W,$C15,BV_Data_An_Cour!$X:$X,J$2)</f>
        <v>0</v>
      </c>
      <c r="K15" s="543">
        <f>IF(J15=0,0,L15/J15)</f>
        <v>0</v>
      </c>
      <c r="L15" s="543">
        <f>-SUMIFS(BV_Data_An_Cour!$P:$P,BV_Data_An_Cour!$V:$V,$B15,BV_Data_An_Cour!$W:$W,$C15,BV_Data_An_Cour!$X:$X,L$2)</f>
        <v>0</v>
      </c>
      <c r="M15" s="400">
        <f>J15-G15</f>
        <v>-5.8192771084337345</v>
      </c>
      <c r="N15" s="399">
        <f>L15-I15</f>
        <v>-8066.1094198454239</v>
      </c>
      <c r="O15" s="542">
        <f>-SUMIFS(BV_Data_An_Prec!$O:$O,BV_Data_An_Prec!$U:$U,$B15,BV_Data_An_Prec!$V:$V,$C15,BV_Data_An_Prec!$W:$W,O$2)</f>
        <v>15</v>
      </c>
      <c r="P15" s="543">
        <f>IF(O15=0,0,Q15/O15)</f>
        <v>2148.156666666669</v>
      </c>
      <c r="Q15" s="543">
        <f>-SUMIFS(BV_Data_An_Prec!$O:$O,BV_Data_An_Prec!$U:$U,$B15,BV_Data_An_Prec!$V:$V,$C15,BV_Data_An_Prec!$W:$W,Q$2)</f>
        <v>32222.350000000035</v>
      </c>
      <c r="R15" s="400">
        <f>J15-O15</f>
        <v>-15</v>
      </c>
      <c r="S15" s="421">
        <f>L15-Q15</f>
        <v>-32222.350000000035</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1.0467762326169407</v>
      </c>
      <c r="E17" s="173">
        <f t="shared" ref="E17" si="14">IF(D17=0,0,F17/D17)</f>
        <v>1938.8731623598242</v>
      </c>
      <c r="F17" s="173">
        <f>+INDEX('Budget original'!$A$2:$AO$500,MATCH($A17,'Budget original'!$A$2:$A$500,0),MATCH(F$2,'Budget original'!$A$2:$AO$2,0))</f>
        <v>2029.5663444171109</v>
      </c>
      <c r="G17" s="176">
        <f>+INDEX('Budget original'!$A$2:$AO$500,MATCH($A17,'Budget original'!$A$2:$A$500,0),MATCH(G$2,'Budget original'!$A$2:$AO$2,0))</f>
        <v>1.0467762326169407</v>
      </c>
      <c r="H17" s="173">
        <f t="shared" ref="H17" si="15">IF(G17=0,0,I17/G17)</f>
        <v>1938.8731623598242</v>
      </c>
      <c r="I17" s="173">
        <f>+INDEX('Budget révisé'!$A$2:$AO$500,MATCH($A17,'Budget révisé'!$A$2:$A$500,0),MATCH(I$2,'Budget révisé'!$A$2:$AO$2,0))</f>
        <v>2029.5663444171109</v>
      </c>
      <c r="J17" s="400">
        <f>-SUMIFS(BV_Data_An_Cour!$P:$P,BV_Data_An_Cour!$V:$V,$B17,BV_Data_An_Cour!$W:$W,$C17,BV_Data_An_Cour!$X:$X,J$2)</f>
        <v>0</v>
      </c>
      <c r="K17" s="225">
        <f>IF(J17=0,0,L17/J17)</f>
        <v>0</v>
      </c>
      <c r="L17" s="174">
        <f>-SUMIFS(BV_Data_An_Cour!$P:$P,BV_Data_An_Cour!$V:$V,$B17,BV_Data_An_Cour!$W:$W,$C17,BV_Data_An_Cour!$X:$X,L$2)</f>
        <v>0</v>
      </c>
      <c r="M17" s="400">
        <f>J17-G17</f>
        <v>-1.0467762326169407</v>
      </c>
      <c r="N17" s="174">
        <f>L17-I17</f>
        <v>-2029.5663444171109</v>
      </c>
      <c r="O17" s="400">
        <f>-SUMIFS(BV_Data_An_Prec!$O:$O,BV_Data_An_Prec!$U:$U,$B17,BV_Data_An_Prec!$V:$V,$C17,BV_Data_An_Prec!$W:$W,O$2)</f>
        <v>1</v>
      </c>
      <c r="P17" s="173">
        <f>IF(O17=0,0,Q17/O17)</f>
        <v>1097.8799999999974</v>
      </c>
      <c r="Q17" s="174">
        <f>-SUMIFS(BV_Data_An_Prec!$O:$O,BV_Data_An_Prec!$U:$U,$B17,BV_Data_An_Prec!$V:$V,$C17,BV_Data_An_Prec!$W:$W,Q$2)</f>
        <v>1097.8799999999974</v>
      </c>
      <c r="R17" s="176">
        <f>J17-O17</f>
        <v>-1</v>
      </c>
      <c r="S17" s="393">
        <f>L17-Q17</f>
        <v>-1097.8799999999974</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4208.019479999999</v>
      </c>
      <c r="G19" s="176">
        <f>+INDEX('Budget original'!$A$2:$AO$500,MATCH($A19,'Budget original'!$A$2:$A$500,0),MATCH(G$2,'Budget original'!$A$2:$AO$2,0))</f>
        <v>0</v>
      </c>
      <c r="H19" s="173">
        <f t="shared" ref="H19" si="17">IF(G19=0,0,I19/G19)</f>
        <v>0</v>
      </c>
      <c r="I19" s="173">
        <f>+INDEX('Budget révisé'!$A$2:$AO$500,MATCH($A19,'Budget révisé'!$A$2:$A$500,0),MATCH(I$2,'Budget révisé'!$A$2:$AO$2,0))</f>
        <v>4208.019479999999</v>
      </c>
      <c r="J19" s="177"/>
      <c r="K19" s="173"/>
      <c r="L19" s="174">
        <f>-SUMIFS(BV_Data_An_Cour!$P:$P,BV_Data_An_Cour!$V:$V,$B19,BV_Data_An_Cour!$W:$W,$C19,BV_Data_An_Cour!$X:$X,L$2)</f>
        <v>0</v>
      </c>
      <c r="M19" s="176"/>
      <c r="N19" s="174">
        <f>L19-I19</f>
        <v>-4208.019479999999</v>
      </c>
      <c r="O19" s="177"/>
      <c r="P19" s="173"/>
      <c r="Q19" s="174">
        <f>-SUMIFS(BV_Data_An_Prec!$O:$O,BV_Data_An_Prec!$U:$U,$B19,BV_Data_An_Prec!$V:$V,$C19,BV_Data_An_Prec!$W:$W,Q$2)</f>
        <v>7323.429999999993</v>
      </c>
      <c r="R19" s="176">
        <f>O19-K19</f>
        <v>0</v>
      </c>
      <c r="S19" s="393">
        <f>L19-Q19</f>
        <v>-7323.429999999993</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2034.887980959825</v>
      </c>
      <c r="G21" s="297">
        <f>+INDEX('Budget original'!$A$2:$AO$500,MATCH($A21,'Budget original'!$A$2:$A$500,0),MATCH(G$2,'Budget original'!$A$2:$AO$2,0))</f>
        <v>0</v>
      </c>
      <c r="H21" s="173">
        <f t="shared" ref="H21:H23" si="19">IF(G21=0,0,I21/G21)</f>
        <v>0</v>
      </c>
      <c r="I21" s="173">
        <f>+INDEX('Budget révisé'!$A$2:$AO$500,MATCH($A21,'Budget révisé'!$A$2:$A$500,0),MATCH(I$2,'Budget révisé'!$A$2:$AO$2,0))</f>
        <v>2034.887980959825</v>
      </c>
      <c r="J21" s="176"/>
      <c r="K21" s="173">
        <f>IF(J13=0,0,L21/(J13+J15))</f>
        <v>0</v>
      </c>
      <c r="L21" s="174">
        <f>-SUMIFS(BV_Data_An_Cour!$P:$P,BV_Data_An_Cour!$V:$V,$B21,BV_Data_An_Cour!$W:$W,$C21,BV_Data_An_Cour!$X:$X,L$2)</f>
        <v>0</v>
      </c>
      <c r="M21" s="176"/>
      <c r="N21" s="174">
        <f t="shared" ref="N21:N24" si="20">L21-I21</f>
        <v>-2034.887980959825</v>
      </c>
      <c r="O21" s="176"/>
      <c r="P21" s="173">
        <f>IF(O13=0,0,Q21/(O13+O15))</f>
        <v>71.339113924050636</v>
      </c>
      <c r="Q21" s="174">
        <f>-SUMIFS(BV_Data_An_Prec!$O:$O,BV_Data_An_Prec!$U:$U,$B21,BV_Data_An_Prec!$V:$V,$C21,BV_Data_An_Prec!$W:$W,Q$2)</f>
        <v>5635.79</v>
      </c>
      <c r="R21" s="176">
        <f t="shared" ref="R21:R23" si="21">O21-K21</f>
        <v>0</v>
      </c>
      <c r="S21" s="393">
        <f t="shared" ref="S21:S24" si="22">L21-Q21</f>
        <v>-5635.79</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54420.246739231094</v>
      </c>
      <c r="G22" s="297">
        <f>+INDEX('Budget original'!$A$2:$AO$500,MATCH($A22,'Budget original'!$A$2:$A$500,0),MATCH(G$2,'Budget original'!$A$2:$AO$2,0))</f>
        <v>0</v>
      </c>
      <c r="H22" s="173">
        <f t="shared" si="19"/>
        <v>0</v>
      </c>
      <c r="I22" s="173">
        <f>+INDEX('Budget révisé'!$A$2:$AO$500,MATCH($A22,'Budget révisé'!$A$2:$A$500,0),MATCH(I$2,'Budget révisé'!$A$2:$AO$2,0))</f>
        <v>54420.246739231094</v>
      </c>
      <c r="J22" s="176"/>
      <c r="K22" s="173">
        <f>IF(J13=0,0,L22/(J13+J15))</f>
        <v>0</v>
      </c>
      <c r="L22" s="174">
        <f>-SUMIFS(BV_Data_An_Cour!$P:$P,BV_Data_An_Cour!$V:$V,$B22,BV_Data_An_Cour!$W:$W,$C22,BV_Data_An_Cour!$X:$X,L$2)</f>
        <v>0</v>
      </c>
      <c r="M22" s="176"/>
      <c r="N22" s="174">
        <f t="shared" si="20"/>
        <v>-54420.246739231094</v>
      </c>
      <c r="O22" s="176"/>
      <c r="P22" s="173">
        <f>IF(O13=0,0,Q22/(O13+O15))</f>
        <v>776.6145569620254</v>
      </c>
      <c r="Q22" s="174">
        <f>-SUMIFS(BV_Data_An_Prec!$O:$O,BV_Data_An_Prec!$U:$U,$B22,BV_Data_An_Prec!$V:$V,$C22,BV_Data_An_Prec!$W:$W,Q$2)</f>
        <v>61352.55</v>
      </c>
      <c r="R22" s="176">
        <f t="shared" si="21"/>
        <v>0</v>
      </c>
      <c r="S22" s="393">
        <f t="shared" si="22"/>
        <v>-61352.55</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1346.9134725801532</v>
      </c>
      <c r="G23" s="297">
        <f>+INDEX('Budget original'!$A$2:$AO$500,MATCH($A23,'Budget original'!$A$2:$A$500,0),MATCH(G$2,'Budget original'!$A$2:$AO$2,0))</f>
        <v>0</v>
      </c>
      <c r="H23" s="173">
        <f t="shared" si="19"/>
        <v>0</v>
      </c>
      <c r="I23" s="173">
        <f>+INDEX('Budget révisé'!$A$2:$AO$500,MATCH($A23,'Budget révisé'!$A$2:$A$500,0),MATCH(I$2,'Budget révisé'!$A$2:$AO$2,0))</f>
        <v>1346.9134725801532</v>
      </c>
      <c r="J23" s="176"/>
      <c r="K23" s="173">
        <f>IF(J13=0,0,L23/(J13+J15))</f>
        <v>0</v>
      </c>
      <c r="L23" s="174">
        <f>-SUMIFS(BV_Data_An_Cour!$P:$P,BV_Data_An_Cour!$V:$V,$B23,BV_Data_An_Cour!$W:$W,$C23,BV_Data_An_Cour!$X:$X,L$2)</f>
        <v>0</v>
      </c>
      <c r="M23" s="400"/>
      <c r="N23" s="174">
        <f t="shared" si="20"/>
        <v>-1346.9134725801532</v>
      </c>
      <c r="O23" s="176"/>
      <c r="P23" s="173">
        <f>IF(O13=0,0,Q23/(O13+O15))</f>
        <v>25.987468354430383</v>
      </c>
      <c r="Q23" s="174">
        <f>-SUMIFS(BV_Data_An_Prec!$O:$O,BV_Data_An_Prec!$U:$U,$B23,BV_Data_An_Prec!$V:$V,$C23,BV_Data_An_Prec!$W:$W,Q$2)</f>
        <v>2053.0100000000002</v>
      </c>
      <c r="R23" s="176">
        <f t="shared" si="21"/>
        <v>0</v>
      </c>
      <c r="S23" s="393">
        <f t="shared" si="22"/>
        <v>-2053.0100000000002</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68.002409638554212</v>
      </c>
      <c r="E24" s="395">
        <f>IF(D24&lt;=0,0,F24/D24)</f>
        <v>849.99999999999989</v>
      </c>
      <c r="F24" s="396">
        <f>F21+F22+F23</f>
        <v>57802.048192771072</v>
      </c>
      <c r="G24" s="397">
        <f>+G15+G13</f>
        <v>68.002409638554212</v>
      </c>
      <c r="H24" s="395">
        <f>IF(G24&lt;=0,0,I24/G24)</f>
        <v>849.99999999999989</v>
      </c>
      <c r="I24" s="396">
        <f>I21+I22+I23</f>
        <v>57802.048192771072</v>
      </c>
      <c r="J24" s="397">
        <f>+J15+J13</f>
        <v>0</v>
      </c>
      <c r="K24" s="395">
        <f>IF(J24&lt;=0,0,L24/J24)</f>
        <v>0</v>
      </c>
      <c r="L24" s="396">
        <f>L21+L22+L23</f>
        <v>0</v>
      </c>
      <c r="M24" s="425">
        <f>J24-G24</f>
        <v>-68.002409638554212</v>
      </c>
      <c r="N24" s="396">
        <f t="shared" si="20"/>
        <v>-57802.048192771072</v>
      </c>
      <c r="O24" s="397">
        <f>+O15+O13</f>
        <v>79</v>
      </c>
      <c r="P24" s="395">
        <f>IF(O24&lt;=0,0,Q24/O24)</f>
        <v>873.94113924050623</v>
      </c>
      <c r="Q24" s="396">
        <f>Q21+Q22+Q23</f>
        <v>69041.349999999991</v>
      </c>
      <c r="R24" s="405"/>
      <c r="S24" s="398">
        <f t="shared" si="22"/>
        <v>-69041.349999999991</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69.049185871171147</v>
      </c>
      <c r="E27" s="27">
        <f>IF(D27&lt;=0,0,F27/D27)</f>
        <v>2791.4134769809079</v>
      </c>
      <c r="F27" s="28">
        <f>F13+F17+F24+F19+F15</f>
        <v>192744.82801534684</v>
      </c>
      <c r="G27" s="29">
        <f>+G13+G15+G17</f>
        <v>69.049185871171147</v>
      </c>
      <c r="H27" s="27">
        <f>IF(G27&lt;=0,0,I27/G27)</f>
        <v>2791.4134769809079</v>
      </c>
      <c r="I27" s="28">
        <f>I13+I17+I24+I19+I15</f>
        <v>192744.82801534684</v>
      </c>
      <c r="J27" s="29">
        <f>+J13+J15+J17</f>
        <v>0</v>
      </c>
      <c r="K27" s="27">
        <f>IF(J27&lt;=0,0,L27/J27)</f>
        <v>0</v>
      </c>
      <c r="L27" s="28">
        <f>L13+L17+L24+L19+L15</f>
        <v>0</v>
      </c>
      <c r="M27" s="29">
        <f>J27-G27</f>
        <v>-69.049185871171147</v>
      </c>
      <c r="N27" s="28">
        <f>L27-I27</f>
        <v>-192744.82801534684</v>
      </c>
      <c r="O27" s="29">
        <f>+O13+O15+O17</f>
        <v>80</v>
      </c>
      <c r="P27" s="27">
        <f>IF(O27&lt;=0,0,Q27/O27)</f>
        <v>3414.2497499999954</v>
      </c>
      <c r="Q27" s="28">
        <f>Q13+Q17+Q24+Q19+Q15</f>
        <v>273139.97999999963</v>
      </c>
      <c r="R27" s="29">
        <f>J27-O27</f>
        <v>-80</v>
      </c>
      <c r="S27" s="357">
        <f>L27-Q27</f>
        <v>-273139.97999999963</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0.33205306015959885</v>
      </c>
      <c r="E31" s="191">
        <f t="shared" ref="E31:E40" si="23">F31/D$24</f>
        <v>628.46234056526066</v>
      </c>
      <c r="F31" s="173">
        <f>+INDEX('Budget original'!$A$2:$AO$500,MATCH($A31,'Budget original'!$A$2:$A$500,0),MATCH(F$2,'Budget original'!$A$2:$AO$2,0))</f>
        <v>42736.953525523422</v>
      </c>
      <c r="G31" s="952">
        <f>I31/(I15+I13)</f>
        <v>0.33205306015959885</v>
      </c>
      <c r="H31" s="191">
        <f t="shared" ref="H31:H40" si="24">I31/G$24</f>
        <v>628.46234056526066</v>
      </c>
      <c r="I31" s="173">
        <f>+INDEX('Budget révisé'!$A$2:$AO$500,MATCH($A31,'Budget révisé'!$A$2:$A$500,0),MATCH(I$2,'Budget révisé'!$A$2:$AO$2,0))</f>
        <v>42736.953525523422</v>
      </c>
      <c r="J31" s="952" t="e">
        <f>L31/(L15+L13)</f>
        <v>#DIV/0!</v>
      </c>
      <c r="K31" s="191">
        <f t="shared" ref="K31:K36" si="25">IF(L31=0,0,L31/J$24)</f>
        <v>0</v>
      </c>
      <c r="L31" s="173">
        <f>SUMIFS(BV_Data_An_Cour!$P:$P,BV_Data_An_Cour!$V:$V,$B31,BV_Data_An_Cour!$W:$W,$C31,BV_Data_An_Cour!$X:$X,L$2)</f>
        <v>0</v>
      </c>
      <c r="M31" s="297"/>
      <c r="N31" s="298">
        <f t="shared" ref="N31:N53" si="26">L31-I31</f>
        <v>-42736.953525523422</v>
      </c>
      <c r="O31" s="297"/>
      <c r="P31" s="191">
        <f t="shared" ref="P31:P36" si="27">IF(Q31=0,0,Q31/O$24)</f>
        <v>818.68063291139231</v>
      </c>
      <c r="Q31" s="174">
        <f>SUMIFS(BV_Data_An_Prec!$O:$O,BV_Data_An_Prec!$U:$U,$B31,BV_Data_An_Prec!$V:$V,$C31,BV_Data_An_Prec!$W:$W,Q$2)</f>
        <v>64675.77</v>
      </c>
      <c r="R31" s="297"/>
      <c r="S31" s="193">
        <f t="shared" ref="S31:S41" si="28">L31-Q31</f>
        <v>-64675.77</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254.99999999999997</v>
      </c>
      <c r="F32" s="171">
        <f>+INDEX('Budget original'!$A$2:$AO$500,MATCH($A32,'Budget original'!$A$2:$A$500,0),MATCH(F$2,'Budget original'!$A$2:$AO$2,0))</f>
        <v>17340.614457831321</v>
      </c>
      <c r="G32" s="953">
        <f>I32/I24</f>
        <v>0.3</v>
      </c>
      <c r="H32" s="184">
        <f t="shared" si="24"/>
        <v>254.99999999999997</v>
      </c>
      <c r="I32" s="171">
        <f>+INDEX('Budget révisé'!$A$2:$AO$500,MATCH($A32,'Budget révisé'!$A$2:$A$500,0),MATCH(I$2,'Budget révisé'!$A$2:$AO$2,0))</f>
        <v>17340.614457831321</v>
      </c>
      <c r="J32" s="1089" t="e">
        <f>L32/L24</f>
        <v>#DIV/0!</v>
      </c>
      <c r="K32" s="407">
        <f t="shared" si="25"/>
        <v>0</v>
      </c>
      <c r="L32" s="238">
        <f>SUMIFS(BV_Data_An_Cour!$P:$P,BV_Data_An_Cour!$V:$V,$B32,BV_Data_An_Cour!$W:$W,$C32,BV_Data_An_Cour!$X:$X,L$2)</f>
        <v>0</v>
      </c>
      <c r="M32" s="304"/>
      <c r="N32" s="305">
        <f t="shared" si="26"/>
        <v>-17340.614457831321</v>
      </c>
      <c r="O32" s="304"/>
      <c r="P32" s="407">
        <f t="shared" si="27"/>
        <v>281.02088607594936</v>
      </c>
      <c r="Q32" s="171">
        <f>SUMIFS(BV_Data_An_Prec!$O:$O,BV_Data_An_Prec!$U:$U,$B32,BV_Data_An_Prec!$V:$V,$C32,BV_Data_An_Prec!$W:$W,Q$2)</f>
        <v>22200.65</v>
      </c>
      <c r="R32" s="304"/>
      <c r="S32" s="196">
        <f t="shared" si="28"/>
        <v>-22200.65</v>
      </c>
      <c r="T32" s="216"/>
      <c r="U32" s="1383" t="e">
        <f>(L32+L112)/(L104+L24+L19)</f>
        <v>#DIV/0!</v>
      </c>
      <c r="V32" s="1384"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167.84930226439229</v>
      </c>
      <c r="F33" s="173">
        <f>+INDEX('Budget original'!$A$2:$AO$500,MATCH($A33,'Budget original'!$A$2:$A$500,0),MATCH(F$2,'Budget original'!$A$2:$AO$2,0))</f>
        <v>11414.157010128711</v>
      </c>
      <c r="G33" s="296"/>
      <c r="H33" s="191">
        <f t="shared" si="24"/>
        <v>167.84930226439229</v>
      </c>
      <c r="I33" s="173">
        <f>+INDEX('Budget révisé'!$A$2:$AO$500,MATCH($A33,'Budget révisé'!$A$2:$A$500,0),MATCH(I$2,'Budget révisé'!$A$2:$AO$2,0))</f>
        <v>11414.157010128711</v>
      </c>
      <c r="J33" s="297"/>
      <c r="K33" s="222">
        <f t="shared" si="25"/>
        <v>0</v>
      </c>
      <c r="L33" s="225">
        <f>SUMIFS(BV_Data_An_Cour!$P:$P,BV_Data_An_Cour!$V:$V,$B33,BV_Data_An_Cour!$W:$W,$C33,BV_Data_An_Cour!$X:$X,L$2)</f>
        <v>0</v>
      </c>
      <c r="M33" s="297"/>
      <c r="N33" s="298">
        <f t="shared" si="26"/>
        <v>-11414.157010128711</v>
      </c>
      <c r="O33" s="297"/>
      <c r="P33" s="191">
        <f t="shared" si="27"/>
        <v>179.93392405063292</v>
      </c>
      <c r="Q33" s="174">
        <f>SUMIFS(BV_Data_An_Prec!$O:$O,BV_Data_An_Prec!$U:$U,$B33,BV_Data_An_Prec!$V:$V,$C33,BV_Data_An_Prec!$W:$W,Q$2)</f>
        <v>14214.78</v>
      </c>
      <c r="R33" s="297"/>
      <c r="S33" s="193">
        <f t="shared" si="28"/>
        <v>-14214.78</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7.3548076275245782</v>
      </c>
      <c r="F34" s="173">
        <f>+INDEX('Budget original'!$A$2:$AO$500,MATCH($A34,'Budget original'!$A$2:$A$500,0),MATCH(F$2,'Budget original'!$A$2:$AO$2,0))</f>
        <v>500.14464109968941</v>
      </c>
      <c r="G34" s="296"/>
      <c r="H34" s="191">
        <f t="shared" si="24"/>
        <v>7.3548076275245782</v>
      </c>
      <c r="I34" s="173">
        <f>+INDEX('Budget révisé'!$A$2:$AO$500,MATCH($A34,'Budget révisé'!$A$2:$A$500,0),MATCH(I$2,'Budget révisé'!$A$2:$AO$2,0))</f>
        <v>500.14464109968941</v>
      </c>
      <c r="J34" s="297"/>
      <c r="K34" s="191">
        <f t="shared" si="25"/>
        <v>0</v>
      </c>
      <c r="L34" s="225">
        <f>SUMIFS(BV_Data_An_Cour!$P:$P,BV_Data_An_Cour!$V:$V,$B34,BV_Data_An_Cour!$W:$W,$C34,BV_Data_An_Cour!$X:$X,L$2)</f>
        <v>0</v>
      </c>
      <c r="M34" s="297"/>
      <c r="N34" s="298">
        <f t="shared" si="26"/>
        <v>-500.14464109968941</v>
      </c>
      <c r="O34" s="297"/>
      <c r="P34" s="191">
        <f t="shared" si="27"/>
        <v>35.605569620253164</v>
      </c>
      <c r="Q34" s="174">
        <f>SUMIFS(BV_Data_An_Prec!$O:$O,BV_Data_An_Prec!$U:$U,$B34,BV_Data_An_Prec!$V:$V,$C34,BV_Data_An_Prec!$W:$W,Q$2)</f>
        <v>2812.84</v>
      </c>
      <c r="R34" s="297"/>
      <c r="S34" s="193">
        <f t="shared" si="28"/>
        <v>-2812.84</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17.733118212476484</v>
      </c>
      <c r="F35" s="171">
        <f>+INDEX('Budget original'!$A$2:$AO$500,MATCH($A35,'Budget original'!$A$2:$A$500,0),MATCH(F$2,'Budget original'!$A$2:$AO$2,0))</f>
        <v>1205.8947688537321</v>
      </c>
      <c r="G35" s="303"/>
      <c r="H35" s="184">
        <f t="shared" si="24"/>
        <v>17.733118212476484</v>
      </c>
      <c r="I35" s="171">
        <f>+INDEX('Budget révisé'!$A$2:$AO$500,MATCH($A35,'Budget révisé'!$A$2:$A$500,0),MATCH(I$2,'Budget révisé'!$A$2:$AO$2,0))</f>
        <v>1205.8947688537321</v>
      </c>
      <c r="J35" s="304"/>
      <c r="K35" s="1120">
        <f t="shared" si="25"/>
        <v>0</v>
      </c>
      <c r="L35" s="238">
        <f>SUMIFS(BV_Data_An_Cour!$P:$P,BV_Data_An_Cour!$V:$V,$B35,BV_Data_An_Cour!$W:$W,$C35,BV_Data_An_Cour!$X:$X,L$2)</f>
        <v>0</v>
      </c>
      <c r="M35" s="304"/>
      <c r="N35" s="305">
        <f t="shared" si="26"/>
        <v>-1205.8947688537321</v>
      </c>
      <c r="O35" s="304"/>
      <c r="P35" s="407">
        <f t="shared" si="27"/>
        <v>96.035696202531639</v>
      </c>
      <c r="Q35" s="174">
        <f>SUMIFS(BV_Data_An_Prec!$O:$O,BV_Data_An_Prec!$U:$U,$B35,BV_Data_An_Prec!$V:$V,$C35,BV_Data_An_Prec!$W:$W,Q$2)</f>
        <v>7586.82</v>
      </c>
      <c r="R35" s="304"/>
      <c r="S35" s="196">
        <f t="shared" si="28"/>
        <v>-7586.82</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13324.23253012048</v>
      </c>
      <c r="G36" s="296"/>
      <c r="H36" s="191">
        <f t="shared" si="24"/>
        <v>195.93765281173592</v>
      </c>
      <c r="I36" s="173">
        <f>+INDEX('Budget révisé'!$A$2:$AO$500,MATCH($A36,'Budget révisé'!$A$2:$A$500,0),MATCH(I$2,'Budget révisé'!$A$2:$AO$2,0))</f>
        <v>13324.23253012048</v>
      </c>
      <c r="J36" s="297"/>
      <c r="K36" s="191">
        <f t="shared" si="25"/>
        <v>0</v>
      </c>
      <c r="L36" s="1121">
        <f>SUMIFS(BV_Data_An_Cour!$P:$P,BV_Data_An_Cour!$V:$V,$B36,BV_Data_An_Cour!$W:$W,$C36,BV_Data_An_Cour!$X:$X,L$2)</f>
        <v>0</v>
      </c>
      <c r="M36" s="172"/>
      <c r="N36" s="298">
        <f t="shared" si="26"/>
        <v>-13324.23253012048</v>
      </c>
      <c r="O36" s="297"/>
      <c r="P36" s="191">
        <f t="shared" si="27"/>
        <v>143.95810126582276</v>
      </c>
      <c r="Q36" s="423">
        <f>SUMIFS(BV_Data_An_Prec!$O:$O,BV_Data_An_Prec!$U:$U,$B36,BV_Data_An_Prec!$V:$V,$C36,BV_Data_An_Prec!$W:$W,Q$2)</f>
        <v>11372.689999999999</v>
      </c>
      <c r="R36" s="297"/>
      <c r="S36" s="193">
        <f t="shared" si="28"/>
        <v>-11372.689999999999</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79.550134148929601</v>
      </c>
      <c r="F37" s="173">
        <f>+INDEX('Budget original'!$A$2:$AO$500,MATCH($A37,'Budget original'!$A$2:$A$500,0),MATCH(F$2,'Budget original'!$A$2:$AO$2,0))</f>
        <v>5409.6008091974509</v>
      </c>
      <c r="G37" s="296"/>
      <c r="H37" s="191">
        <f t="shared" si="24"/>
        <v>79.550134148929601</v>
      </c>
      <c r="I37" s="173">
        <f>+INDEX('Budget révisé'!$A$2:$AO$500,MATCH($A37,'Budget révisé'!$A$2:$A$500,0),MATCH(I$2,'Budget révisé'!$A$2:$AO$2,0))</f>
        <v>5409.6008091974509</v>
      </c>
      <c r="J37" s="297"/>
      <c r="K37" s="191">
        <f t="shared" ref="K37:K40" si="29">IF(L37=0,0,L37/J$24)</f>
        <v>0</v>
      </c>
      <c r="L37" s="624">
        <f>SUMIFS(BV_Data_An_Cour!$P:$P,BV_Data_An_Cour!$V:$V,$B37,BV_Data_An_Cour!$W:$W,$C37,BV_Data_An_Cour!$X:$X,L$2)</f>
        <v>0</v>
      </c>
      <c r="M37" s="172"/>
      <c r="N37" s="298">
        <f t="shared" ref="N37:N40" si="30">L37-I37</f>
        <v>-5409.6008091974509</v>
      </c>
      <c r="O37" s="297"/>
      <c r="P37" s="191">
        <f t="shared" ref="P37:P40" si="31">IF(Q37=0,0,Q37/O$24)</f>
        <v>149.30126582278481</v>
      </c>
      <c r="Q37" s="174">
        <f>SUMIFS(BV_Data_An_Prec!$O:$O,BV_Data_An_Prec!$U:$U,$B37,BV_Data_An_Prec!$V:$V,$C37,BV_Data_An_Prec!$W:$W,Q$2)</f>
        <v>11794.8</v>
      </c>
      <c r="R37" s="297"/>
      <c r="S37" s="193">
        <f t="shared" ref="S37:S40" si="32">L37-Q37</f>
        <v>-11794.8</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0.47696012748749333</v>
      </c>
      <c r="F41" s="41">
        <f>SUM(F31:F40)</f>
        <v>91931.597742754806</v>
      </c>
      <c r="G41" s="42" t="s">
        <v>111</v>
      </c>
      <c r="H41" s="40">
        <f>I41/I$27</f>
        <v>0.47696012748749333</v>
      </c>
      <c r="I41" s="41">
        <f>SUM(I31:I40)</f>
        <v>91931.597742754806</v>
      </c>
      <c r="J41" s="42" t="s">
        <v>111</v>
      </c>
      <c r="K41" s="40" t="e">
        <f>L41/L$27</f>
        <v>#DIV/0!</v>
      </c>
      <c r="L41" s="41">
        <f>SUM(L31:L40)</f>
        <v>0</v>
      </c>
      <c r="M41" s="577"/>
      <c r="N41" s="41">
        <f t="shared" si="26"/>
        <v>-91931.597742754806</v>
      </c>
      <c r="O41" s="42" t="s">
        <v>111</v>
      </c>
      <c r="P41" s="40">
        <f>Q41/Q$27</f>
        <v>0.49300124427042924</v>
      </c>
      <c r="Q41" s="576">
        <f>SUM(Q31:Q40)</f>
        <v>134658.34999999998</v>
      </c>
      <c r="R41" s="44"/>
      <c r="S41" s="310">
        <f t="shared" si="28"/>
        <v>-134658.34999999998</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0</v>
      </c>
      <c r="M42" s="297"/>
      <c r="N42" s="298">
        <f t="shared" si="26"/>
        <v>-15886.260919540229</v>
      </c>
      <c r="O42" s="297"/>
      <c r="P42" s="172"/>
      <c r="Q42" s="174">
        <f>SUMIFS(BV_Data_An_Prec!$O:$O,BV_Data_An_Prec!$U:$U,$B42,BV_Data_An_Prec!$V:$V,$C42,BV_Data_An_Prec!$W:$W,Q$2)</f>
        <v>15615.19</v>
      </c>
      <c r="R42" s="297"/>
      <c r="S42" s="193">
        <f t="shared" ref="S42:S53" si="33">L42-Q42</f>
        <v>-15615.19</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0</v>
      </c>
      <c r="M43" s="297"/>
      <c r="N43" s="298">
        <f t="shared" si="26"/>
        <v>-9822.0277770344837</v>
      </c>
      <c r="O43" s="297"/>
      <c r="P43" s="172"/>
      <c r="Q43" s="174">
        <f>SUMIFS(BV_Data_An_Prec!$O:$O,BV_Data_An_Prec!$U:$U,$B43,BV_Data_An_Prec!$V:$V,$C43,BV_Data_An_Prec!$W:$W,Q$2)</f>
        <v>9679.25</v>
      </c>
      <c r="R43" s="297"/>
      <c r="S43" s="193">
        <f t="shared" si="33"/>
        <v>-9679.25</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0</v>
      </c>
      <c r="M44" s="362"/>
      <c r="N44" s="350">
        <f t="shared" si="26"/>
        <v>-8921.4021694406129</v>
      </c>
      <c r="O44" s="362"/>
      <c r="P44" s="346"/>
      <c r="Q44" s="175">
        <f>SUMIFS(BV_Data_An_Prec!$O:$O,BV_Data_An_Prec!$U:$U,$B44,BV_Data_An_Prec!$V:$V,$C44,BV_Data_An_Prec!$W:$W,Q$2)</f>
        <v>13369.82</v>
      </c>
      <c r="R44" s="362"/>
      <c r="S44" s="195">
        <f t="shared" si="33"/>
        <v>-13369.82</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11580.447540824349</v>
      </c>
      <c r="G49" s="296"/>
      <c r="H49" s="172"/>
      <c r="I49" s="171">
        <f>+INDEX('Budget révisé'!$A$2:$AO$500,MATCH($A49,'Budget révisé'!$A$2:$A$500,0),MATCH(I$2,'Budget révisé'!$A$2:$AO$2,0))</f>
        <v>11580.447540824349</v>
      </c>
      <c r="J49" s="297"/>
      <c r="K49" s="172"/>
      <c r="L49" s="171">
        <f>SUMIFS(BV_Data_An_Cour!$P:$P,BV_Data_An_Cour!$V:$V,$B49,BV_Data_An_Cour!$W:$W,$C49,BV_Data_An_Cour!$X:$X,L$2)</f>
        <v>0</v>
      </c>
      <c r="M49" s="297"/>
      <c r="N49" s="298">
        <f t="shared" si="26"/>
        <v>-11580.447540824349</v>
      </c>
      <c r="O49" s="297"/>
      <c r="P49" s="172"/>
      <c r="Q49" s="171">
        <f>SUMIFS(BV_Data_An_Prec!$O:$O,BV_Data_An_Prec!$U:$U,$B49,BV_Data_An_Prec!$V:$V,$C49,BV_Data_An_Prec!$W:$W,Q$2)</f>
        <v>17533.28</v>
      </c>
      <c r="R49" s="297"/>
      <c r="S49" s="193">
        <f t="shared" si="33"/>
        <v>-17533.28</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10371.477835027747</v>
      </c>
      <c r="G50" s="387"/>
      <c r="H50" s="346"/>
      <c r="I50" s="173">
        <f>+INDEX('Budget révisé'!$A$2:$AO$500,MATCH($A50,'Budget révisé'!$A$2:$A$500,0),MATCH(I$2,'Budget révisé'!$A$2:$AO$2,0))</f>
        <v>10371.477835027747</v>
      </c>
      <c r="J50" s="362"/>
      <c r="K50" s="346"/>
      <c r="L50" s="275">
        <f>SUMIFS(BV_Data_An_Cour!$P:$P,BV_Data_An_Cour!$V:$V,$B50,BV_Data_An_Cour!$W:$W,$C50,BV_Data_An_Cour!$X:$X,L$2)</f>
        <v>0</v>
      </c>
      <c r="M50" s="362"/>
      <c r="N50" s="350">
        <f t="shared" si="26"/>
        <v>-10371.477835027747</v>
      </c>
      <c r="O50" s="362"/>
      <c r="P50" s="346"/>
      <c r="Q50" s="174">
        <f>SUMIFS(BV_Data_An_Prec!$O:$O,BV_Data_An_Prec!$U:$U,$B50,BV_Data_An_Prec!$V:$V,$C50,BV_Data_An_Prec!$W:$W,Q$2)</f>
        <v>11460.63</v>
      </c>
      <c r="R50" s="362"/>
      <c r="S50" s="195">
        <f t="shared" si="33"/>
        <v>-11460.63</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8236.1735748749761</v>
      </c>
      <c r="G51" s="296"/>
      <c r="H51" s="172"/>
      <c r="I51" s="173">
        <f>+INDEX('Budget révisé'!$A$2:$AO$500,MATCH($A51,'Budget révisé'!$A$2:$A$500,0),MATCH(I$2,'Budget révisé'!$A$2:$AO$2,0))</f>
        <v>8236.1735748749761</v>
      </c>
      <c r="J51" s="297"/>
      <c r="K51" s="172"/>
      <c r="L51" s="174">
        <f>SUMIFS(BV_Data_An_Cour!$P:$P,BV_Data_An_Cour!$V:$V,$B51,BV_Data_An_Cour!$W:$W,$C51,BV_Data_An_Cour!$X:$X,L$2)</f>
        <v>0</v>
      </c>
      <c r="M51" s="297"/>
      <c r="N51" s="298">
        <f t="shared" si="26"/>
        <v>-8236.1735748749761</v>
      </c>
      <c r="O51" s="297"/>
      <c r="P51" s="172"/>
      <c r="Q51" s="174">
        <f>SUMIFS(BV_Data_An_Prec!$O:$O,BV_Data_An_Prec!$U:$U,$B51,BV_Data_An_Prec!$V:$V,$C51,BV_Data_An_Prec!$W:$W,Q$2)</f>
        <v>8213.4500000000007</v>
      </c>
      <c r="R51" s="297"/>
      <c r="S51" s="193">
        <f t="shared" si="33"/>
        <v>-8213.4500000000007</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3355.4781230972126</v>
      </c>
      <c r="G52" s="296"/>
      <c r="H52" s="172"/>
      <c r="I52" s="173">
        <f>+INDEX('Budget révisé'!$A$2:$AO$500,MATCH($A52,'Budget révisé'!$A$2:$A$500,0),MATCH(I$2,'Budget révisé'!$A$2:$AO$2,0))</f>
        <v>3355.4781230972126</v>
      </c>
      <c r="J52" s="297"/>
      <c r="K52" s="172"/>
      <c r="L52" s="174">
        <f>SUMIFS(BV_Data_An_Cour!$P:$P,BV_Data_An_Cour!$V:$V,$B52,BV_Data_An_Cour!$W:$W,$C52,BV_Data_An_Cour!$X:$X,L$2)</f>
        <v>0</v>
      </c>
      <c r="M52" s="297"/>
      <c r="N52" s="298">
        <f t="shared" si="26"/>
        <v>-3355.4781230972126</v>
      </c>
      <c r="O52" s="297"/>
      <c r="P52" s="172"/>
      <c r="Q52" s="174">
        <f>SUMIFS(BV_Data_An_Prec!$O:$O,BV_Data_An_Prec!$U:$U,$B52,BV_Data_An_Prec!$V:$V,$C52,BV_Data_An_Prec!$W:$W,Q$2)</f>
        <v>1910.11</v>
      </c>
      <c r="R52" s="297"/>
      <c r="S52" s="193">
        <f t="shared" si="33"/>
        <v>-1910.11</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0.35369700262157738</v>
      </c>
      <c r="F54" s="41">
        <f>+SUM(F42:F53)</f>
        <v>68173.267939839614</v>
      </c>
      <c r="G54" s="42" t="s">
        <v>111</v>
      </c>
      <c r="H54" s="40">
        <f>I54/I$27</f>
        <v>0.35369700262157738</v>
      </c>
      <c r="I54" s="41">
        <f>+SUM(I42:I53)</f>
        <v>68173.267939839614</v>
      </c>
      <c r="J54" s="42" t="s">
        <v>111</v>
      </c>
      <c r="K54" s="40" t="e">
        <f>L54/L$27</f>
        <v>#DIV/0!</v>
      </c>
      <c r="L54" s="41">
        <f>+SUM(L42:L53)</f>
        <v>0</v>
      </c>
      <c r="M54" s="44"/>
      <c r="N54" s="41">
        <f>+SUM(N42:N53)</f>
        <v>-68173.267939839614</v>
      </c>
      <c r="O54" s="42" t="s">
        <v>111</v>
      </c>
      <c r="P54" s="40">
        <f>Q54/Q$27</f>
        <v>0.28476874751180731</v>
      </c>
      <c r="Q54" s="41">
        <f>+SUM(Q42:Q53)</f>
        <v>77781.73</v>
      </c>
      <c r="R54" s="44"/>
      <c r="S54" s="310">
        <f>+SUM(S42:S53)</f>
        <v>-77781.73</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8903.84</v>
      </c>
      <c r="R57" s="304"/>
      <c r="S57" s="196">
        <f t="shared" si="37"/>
        <v>-8903.84</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5488.2</v>
      </c>
      <c r="R58" s="297"/>
      <c r="S58" s="193">
        <f t="shared" si="37"/>
        <v>-5488.2</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574.5</v>
      </c>
      <c r="R59" s="297"/>
      <c r="S59" s="193">
        <f t="shared" si="37"/>
        <v>-574.5</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7079.4401777777784</v>
      </c>
      <c r="G60" s="303"/>
      <c r="H60" s="302"/>
      <c r="I60" s="171">
        <f>+INDEX('Budget révisé'!$A$2:$AO$500,MATCH($A60,'Budget révisé'!$A$2:$A$500,0),MATCH(I$2,'Budget révisé'!$A$2:$AO$2,0))</f>
        <v>7079.4401777777784</v>
      </c>
      <c r="J60" s="304"/>
      <c r="K60" s="302"/>
      <c r="L60" s="171">
        <f>SUMIFS(BV_Data_An_Cour!$P:$P,BV_Data_An_Cour!$V:$V,$B60,BV_Data_An_Cour!$W:$W,$C60,BV_Data_An_Cour!$X:$X,L$2)</f>
        <v>0</v>
      </c>
      <c r="M60" s="304"/>
      <c r="N60" s="305">
        <f t="shared" si="36"/>
        <v>-7079.4401777777784</v>
      </c>
      <c r="O60" s="304"/>
      <c r="P60" s="302"/>
      <c r="Q60" s="171">
        <f>SUMIFS(BV_Data_An_Prec!$O:$O,BV_Data_An_Prec!$U:$U,$B60,BV_Data_An_Prec!$V:$V,$C60,BV_Data_An_Prec!$W:$W,Q$2)</f>
        <v>9393.25</v>
      </c>
      <c r="R60" s="304"/>
      <c r="S60" s="196">
        <f t="shared" si="37"/>
        <v>-9393.25</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79.371050795832929</v>
      </c>
      <c r="G61" s="296"/>
      <c r="H61" s="172"/>
      <c r="I61" s="173">
        <f>+INDEX('Budget révisé'!$A$2:$AO$500,MATCH($A61,'Budget révisé'!$A$2:$A$500,0),MATCH(I$2,'Budget révisé'!$A$2:$AO$2,0))</f>
        <v>79.371050795832929</v>
      </c>
      <c r="J61" s="297"/>
      <c r="K61" s="172"/>
      <c r="L61" s="174">
        <f>SUMIFS(BV_Data_An_Cour!$P:$P,BV_Data_An_Cour!$V:$V,$B61,BV_Data_An_Cour!$W:$W,$C61,BV_Data_An_Cour!$X:$X,L$2)</f>
        <v>0</v>
      </c>
      <c r="M61" s="297"/>
      <c r="N61" s="298">
        <f t="shared" si="36"/>
        <v>-79.371050795832929</v>
      </c>
      <c r="O61" s="297"/>
      <c r="P61" s="172"/>
      <c r="Q61" s="174">
        <f>SUMIFS(BV_Data_An_Prec!$O:$O,BV_Data_An_Prec!$U:$U,$B61,BV_Data_An_Prec!$V:$V,$C61,BV_Data_An_Prec!$W:$W,Q$2)</f>
        <v>20.79</v>
      </c>
      <c r="R61" s="297"/>
      <c r="S61" s="193">
        <f t="shared" si="37"/>
        <v>-20.79</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42.175689904034691</v>
      </c>
      <c r="G62" s="296"/>
      <c r="H62" s="172"/>
      <c r="I62" s="173">
        <f>+INDEX('Budget révisé'!$A$2:$AO$500,MATCH($A62,'Budget révisé'!$A$2:$A$500,0),MATCH(I$2,'Budget révisé'!$A$2:$AO$2,0))</f>
        <v>42.175689904034691</v>
      </c>
      <c r="J62" s="297"/>
      <c r="K62" s="172"/>
      <c r="L62" s="174">
        <f>SUMIFS(BV_Data_An_Cour!$P:$P,BV_Data_An_Cour!$V:$V,$B62,BV_Data_An_Cour!$W:$W,$C62,BV_Data_An_Cour!$X:$X,L$2)</f>
        <v>0</v>
      </c>
      <c r="M62" s="297"/>
      <c r="N62" s="298">
        <f t="shared" si="36"/>
        <v>-42.175689904034691</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351.16</v>
      </c>
      <c r="R63" s="297"/>
      <c r="S63" s="193">
        <f t="shared" si="37"/>
        <v>-351.16</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251.28</v>
      </c>
      <c r="R64" s="297"/>
      <c r="S64" s="193">
        <f t="shared" si="37"/>
        <v>-251.28</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207.14</v>
      </c>
      <c r="R65" s="297"/>
      <c r="S65" s="193">
        <f t="shared" si="37"/>
        <v>-207.14</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752.13</v>
      </c>
      <c r="R66" s="297"/>
      <c r="S66" s="193">
        <f t="shared" si="37"/>
        <v>-752.13</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897.37</v>
      </c>
      <c r="R67" s="297"/>
      <c r="S67" s="193">
        <f t="shared" ref="S67" si="39">L67-Q67</f>
        <v>-897.37</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4410.6482740458005</v>
      </c>
      <c r="G68" s="296"/>
      <c r="H68" s="172"/>
      <c r="I68" s="173">
        <f>+INDEX('Budget révisé'!$A$2:$AO$500,MATCH($A68,'Budget révisé'!$A$2:$A$500,0),MATCH(I$2,'Budget révisé'!$A$2:$AO$2,0))</f>
        <v>4410.6482740458005</v>
      </c>
      <c r="J68" s="297"/>
      <c r="K68" s="172"/>
      <c r="L68" s="961">
        <f>AF447*W3</f>
        <v>0</v>
      </c>
      <c r="M68" s="297"/>
      <c r="N68" s="298">
        <f t="shared" ref="N68:N69" si="40">L68-I68</f>
        <v>-4410.6482740458005</v>
      </c>
      <c r="O68" s="297"/>
      <c r="P68" s="172"/>
      <c r="Q68" s="275">
        <f>AL447*W3</f>
        <v>5145.2685000000001</v>
      </c>
      <c r="R68" s="297"/>
      <c r="S68" s="193">
        <f t="shared" ref="S68:S69" si="41">L68-Q68</f>
        <v>-5145.2685000000001</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0.15360023882715806</v>
      </c>
      <c r="F72" s="41">
        <f>+SUM(F55:F71)</f>
        <v>29605.651615856783</v>
      </c>
      <c r="G72" s="42" t="s">
        <v>111</v>
      </c>
      <c r="H72" s="40">
        <f>I72/I$27</f>
        <v>0.15360023882715806</v>
      </c>
      <c r="I72" s="41">
        <f>+SUM(I55:I71)</f>
        <v>29605.651615856783</v>
      </c>
      <c r="J72" s="42" t="s">
        <v>111</v>
      </c>
      <c r="K72" s="40" t="e">
        <f>L72/L$27</f>
        <v>#DIV/0!</v>
      </c>
      <c r="L72" s="41">
        <f>+SUM(L55:L71)</f>
        <v>0</v>
      </c>
      <c r="M72" s="44"/>
      <c r="N72" s="41">
        <f>+SUM(N55:N71)</f>
        <v>-29605.651615856783</v>
      </c>
      <c r="O72" s="42" t="s">
        <v>111</v>
      </c>
      <c r="P72" s="40">
        <f>Q72/Q$27</f>
        <v>0.11710086710850622</v>
      </c>
      <c r="Q72" s="41">
        <f>+SUM(Q55:Q71)</f>
        <v>31984.928500000002</v>
      </c>
      <c r="R72" s="44"/>
      <c r="S72" s="310">
        <f>+SUM(S55:S71)</f>
        <v>-31984.928500000002</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0.98425736893622884</v>
      </c>
      <c r="F74" s="41">
        <f>F41+F54+F72</f>
        <v>189710.51729845122</v>
      </c>
      <c r="G74" s="42" t="s">
        <v>111</v>
      </c>
      <c r="H74" s="40">
        <f>I74/I$27</f>
        <v>0.98425736893622884</v>
      </c>
      <c r="I74" s="41">
        <f>I41+I54+I72</f>
        <v>189710.51729845122</v>
      </c>
      <c r="J74" s="42" t="s">
        <v>111</v>
      </c>
      <c r="K74" s="40" t="e">
        <f>L74/L$27</f>
        <v>#DIV/0!</v>
      </c>
      <c r="L74" s="41">
        <f>L41+L54+L72</f>
        <v>0</v>
      </c>
      <c r="M74" s="44"/>
      <c r="N74" s="46">
        <f>L74-I74</f>
        <v>-189710.51729845122</v>
      </c>
      <c r="O74" s="42" t="s">
        <v>111</v>
      </c>
      <c r="P74" s="40">
        <f>Q74/Q$27</f>
        <v>0.89487085889074269</v>
      </c>
      <c r="Q74" s="41">
        <f>Q41+Q54+Q72</f>
        <v>244425.00849999997</v>
      </c>
      <c r="R74" s="44"/>
      <c r="S74" s="293">
        <f>L74-Q74</f>
        <v>-244425.00849999997</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72177.255054216846</v>
      </c>
      <c r="G78" s="296"/>
      <c r="H78" s="172"/>
      <c r="I78" s="173">
        <f>+INDEX('Budget révisé'!$A$2:$AO$500,MATCH($A78,'Budget révisé'!$A$2:$A$500,0),MATCH(I$2,'Budget révisé'!$A$2:$AO$2,0))</f>
        <v>72177.255054216846</v>
      </c>
      <c r="J78" s="297"/>
      <c r="K78" s="172"/>
      <c r="L78" s="275">
        <f>-SUMIFS(BV_Data_An_Cour!$P:$P,BV_Data_An_Cour!$V:$V,$B78,BV_Data_An_Cour!$W:$W,$C78,BV_Data_An_Cour!$X:$X,L$2)</f>
        <v>0</v>
      </c>
      <c r="M78" s="297"/>
      <c r="N78" s="298">
        <f t="shared" si="42"/>
        <v>-72177.255054216846</v>
      </c>
      <c r="O78" s="297"/>
      <c r="P78" s="172"/>
      <c r="Q78" s="548">
        <f>-SUMIFS(BV_Data_An_Prec!$O:$O,BV_Data_An_Prec!$U:$U,$B78,BV_Data_An_Prec!$V:$V,$C78,BV_Data_An_Prec!$W:$W,Q$2)</f>
        <v>53201.15</v>
      </c>
      <c r="R78" s="297"/>
      <c r="S78" s="193">
        <f t="shared" si="43"/>
        <v>-53201.15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24795.562646337559</v>
      </c>
      <c r="G82" s="296"/>
      <c r="H82" s="172"/>
      <c r="I82" s="173">
        <f>+INDEX('Budget révisé'!$A$2:$AO$500,MATCH($A82,'Budget révisé'!$A$2:$A$500,0),MATCH(I$2,'Budget révisé'!$A$2:$AO$2,0))</f>
        <v>24795.562646337559</v>
      </c>
      <c r="J82" s="342">
        <f>L82/399</f>
        <v>0</v>
      </c>
      <c r="K82" s="1186" t="e">
        <f>J82/(J13+J15)</f>
        <v>#DIV/0!</v>
      </c>
      <c r="L82" s="961">
        <f>-SUMIFS(BV_Data_An_Cour!$P:$P,BV_Data_An_Cour!$V:$V,$B82,BV_Data_An_Cour!$W:$W,$C82,BV_Data_An_Cour!$X:$X,L$2)-L158</f>
        <v>0</v>
      </c>
      <c r="M82" s="297"/>
      <c r="N82" s="298">
        <f t="shared" si="42"/>
        <v>-24795.562646337559</v>
      </c>
      <c r="O82" s="297"/>
      <c r="P82" s="172"/>
      <c r="Q82" s="548">
        <f>-SUMIFS(BV_Data_An_Prec!$O:$O,BV_Data_An_Prec!$U:$U,$B82,BV_Data_An_Prec!$V:$V,$C82,BV_Data_An_Prec!$W:$W,Q$2)-Q158</f>
        <v>23602</v>
      </c>
      <c r="R82" s="297"/>
      <c r="S82" s="193">
        <f t="shared" si="43"/>
        <v>-23602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96972.817700554413</v>
      </c>
      <c r="G83" s="42"/>
      <c r="H83" s="40"/>
      <c r="I83" s="41">
        <f>+SUM(I75:I82)</f>
        <v>96972.817700554413</v>
      </c>
      <c r="J83" s="42"/>
      <c r="K83" s="40"/>
      <c r="L83" s="41">
        <f>+SUM(L75:L82)</f>
        <v>0</v>
      </c>
      <c r="M83" s="44"/>
      <c r="N83" s="41">
        <f>+SUM(N75:N82)</f>
        <v>-96972.817700554413</v>
      </c>
      <c r="O83" s="42"/>
      <c r="P83" s="40"/>
      <c r="Q83" s="41">
        <f>+SUM(Q75:Q82)</f>
        <v>76803.149999999994</v>
      </c>
      <c r="R83" s="44"/>
      <c r="S83" s="310">
        <f>+SUM(S75:S82)</f>
        <v>-76803.149999999994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100007.12841745003</v>
      </c>
      <c r="G85" s="430"/>
      <c r="H85" s="340"/>
      <c r="I85" s="337">
        <f>I27-I74+I83</f>
        <v>100007.12841745003</v>
      </c>
      <c r="J85" s="430"/>
      <c r="K85" s="336"/>
      <c r="L85" s="337">
        <f>L27-L74+L83</f>
        <v>0</v>
      </c>
      <c r="M85" s="430"/>
      <c r="N85" s="337">
        <f>N27-N41-N54-N72+N83</f>
        <v>-100007.12841745005</v>
      </c>
      <c r="O85" s="430"/>
      <c r="P85" s="336"/>
      <c r="Q85" s="337">
        <f>Q27-Q74+Q83</f>
        <v>105518.12149999966</v>
      </c>
      <c r="R85" s="430"/>
      <c r="S85" s="341">
        <f>S27-S41-S54-S72+S83</f>
        <v>-105518.12149999966</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Novembre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1096969.0719588182</v>
      </c>
      <c r="G93" s="177"/>
      <c r="H93" s="178"/>
      <c r="I93" s="171">
        <f>+INDEX('Budget révisé'!$A$2:$AO$500,MATCH($A93,'Budget révisé'!$A$2:$A$500,0),MATCH(I$2,'Budget révisé'!$A$2:$AO$2,0))</f>
        <v>1096969.0719588182</v>
      </c>
      <c r="J93" s="562"/>
      <c r="K93" s="178"/>
      <c r="L93" s="171">
        <f>-SUMIFS(BV_Data_An_Cour!$P:$P,BV_Data_An_Cour!$Y:$Y,"Oui",BV_Data_An_Cour!$V:$V,$B93)</f>
        <v>0</v>
      </c>
      <c r="M93" s="389"/>
      <c r="N93" s="390"/>
      <c r="O93" s="562"/>
      <c r="P93" s="178"/>
      <c r="Q93" s="171">
        <f>-SUMIFS(BV_Data_An_Prec!$O:$O,BV_Data_An_Prec!$X:$X,"Oui",BV_Data_An_Prec!$U:$U,$B93)</f>
        <v>2077356.92</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33.48300970873786</v>
      </c>
      <c r="E94" s="173">
        <f>IF(D94=0,0,F94/D94)</f>
        <v>1300</v>
      </c>
      <c r="F94" s="173">
        <f>+INDEX('Budget original'!$A$2:$AO$500,MATCH($A94,'Budget original'!$A$2:$A$500,0),MATCH(F$2,'Budget original'!$A$2:$AO$2,0))</f>
        <v>43527.912621359217</v>
      </c>
      <c r="G94" s="176">
        <f>+INDEX('Budget révisé'!$A$2:$AO$500,MATCH($A94,'Budget révisé'!$A$2:$A$500,0),MATCH(G$2,'Budget révisé'!$A$2:$AO$2,0))</f>
        <v>33.48300970873786</v>
      </c>
      <c r="H94" s="173">
        <f>IF(G94=0,0,I94/G94)</f>
        <v>1300</v>
      </c>
      <c r="I94" s="173">
        <f>+INDEX('Budget révisé'!$A$2:$AO$500,MATCH($A94,'Budget révisé'!$A$2:$A$500,0),MATCH(I$2,'Budget révisé'!$A$2:$AO$2,0))</f>
        <v>43527.912621359217</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-33.48300970873786</v>
      </c>
      <c r="N94" s="174">
        <f>L94-I94</f>
        <v>-43527.912621359217</v>
      </c>
      <c r="O94" s="563">
        <f>-SUMIFS(BV_Data_An_Prec!$O:$O,BV_Data_An_Prec!$U:$U,$B94,BV_Data_An_Prec!$V:$V,$C94,BV_Data_An_Prec!$W:$W,O$2)</f>
        <v>35</v>
      </c>
      <c r="P94" s="173">
        <f t="shared" ref="P94:P95" si="47">IF(O94=0,0,Q94/O94)</f>
        <v>1793.006285714285</v>
      </c>
      <c r="Q94" s="174">
        <f>-SUMIFS(BV_Data_An_Prec!$O:$O,BV_Data_An_Prec!$U:$U,$B94,BV_Data_An_Prec!$V:$V,$C94,BV_Data_An_Prec!$W:$W,$L2)</f>
        <v>62755.219999999972</v>
      </c>
      <c r="R94" s="176">
        <f t="shared" ref="R94:R95" si="48">J94-O94</f>
        <v>-35</v>
      </c>
      <c r="S94" s="393">
        <f t="shared" ref="S94:S95" si="49">L94-Q94</f>
        <v>-62755.219999999972</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1.8810679611650485</v>
      </c>
      <c r="E95" s="178">
        <f t="shared" ref="E95:E104" si="50">IF(D95=0,0,F95/D95)</f>
        <v>900</v>
      </c>
      <c r="F95" s="173">
        <f>+INDEX('Budget original'!$A$2:$AO$500,MATCH($A95,'Budget original'!$A$2:$A$500,0),MATCH(F$2,'Budget original'!$A$2:$AO$2,0))</f>
        <v>1692.9611650485435</v>
      </c>
      <c r="G95" s="176">
        <f>+INDEX('Budget révisé'!$A$2:$AO$500,MATCH($A95,'Budget révisé'!$A$2:$A$500,0),MATCH(G$2,'Budget révisé'!$A$2:$AO$2,0))</f>
        <v>1.8810679611650485</v>
      </c>
      <c r="H95" s="173">
        <f t="shared" ref="H95:H97" si="51">IF(G95=0,0,I95/G95)</f>
        <v>900</v>
      </c>
      <c r="I95" s="173">
        <f>+INDEX('Budget révisé'!$A$2:$AO$500,MATCH($A95,'Budget révisé'!$A$2:$A$500,0),MATCH(I$2,'Budget révisé'!$A$2:$AO$2,0))</f>
        <v>1692.9611650485435</v>
      </c>
      <c r="J95" s="176">
        <f>-SUMIFS(BV_Data_An_Cour!$P:$P,BV_Data_An_Cour!$V:$V,$B95,BV_Data_An_Cour!$W:$W,$C95,BV_Data_An_Cour!$X:$X,J$2)</f>
        <v>0</v>
      </c>
      <c r="K95" s="173">
        <f t="shared" si="46"/>
        <v>0</v>
      </c>
      <c r="L95" s="548">
        <f>-SUMIFS(BV_Data_An_Cour!$P:$P,BV_Data_An_Cour!$V:$V,$B95,BV_Data_An_Cour!$W:$W,$C95,BV_Data_An_Cour!$X:$X,$L2)</f>
        <v>0</v>
      </c>
      <c r="M95" s="176">
        <f>J95-G95</f>
        <v>-1.8810679611650485</v>
      </c>
      <c r="N95" s="174">
        <f>L95-I95</f>
        <v>-1692.9611650485435</v>
      </c>
      <c r="O95" s="176">
        <f>-SUMIFS(BV_Data_An_Prec!$O:$O,BV_Data_An_Prec!$U:$U,$B95,BV_Data_An_Prec!$V:$V,$C95,BV_Data_An_Prec!$W:$W,O$2)</f>
        <v>1</v>
      </c>
      <c r="P95" s="173">
        <f t="shared" si="47"/>
        <v>2295.5100000000002</v>
      </c>
      <c r="Q95" s="548">
        <f>-SUMIFS(BV_Data_An_Prec!$O:$O,BV_Data_An_Prec!$U:$U,$B95,BV_Data_An_Prec!$V:$V,$C95,BV_Data_An_Prec!$W:$W,$L2)</f>
        <v>2295.5100000000002</v>
      </c>
      <c r="R95" s="176">
        <f t="shared" si="48"/>
        <v>-1</v>
      </c>
      <c r="S95" s="393">
        <f t="shared" si="49"/>
        <v>-2295.5100000000002</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35.364077669902912</v>
      </c>
      <c r="E96" s="173">
        <f t="shared" si="50"/>
        <v>1278.7234042553191</v>
      </c>
      <c r="F96" s="396">
        <f t="shared" ref="F96" si="52">+F94+F95</f>
        <v>45220.873786407763</v>
      </c>
      <c r="G96" s="397">
        <f>+G95+G94</f>
        <v>35.364077669902912</v>
      </c>
      <c r="H96" s="395">
        <f t="shared" si="51"/>
        <v>1278.7234042553191</v>
      </c>
      <c r="I96" s="396">
        <f t="shared" ref="I96" si="53">+I94+I95</f>
        <v>45220.873786407763</v>
      </c>
      <c r="J96" s="1206">
        <f t="shared" ref="J96" si="54">+J94+J95</f>
        <v>0</v>
      </c>
      <c r="K96" s="395">
        <f>IF(J96&lt;=0,0,L96/J96)</f>
        <v>0</v>
      </c>
      <c r="L96" s="396">
        <f>+L94+L95</f>
        <v>0</v>
      </c>
      <c r="M96" s="397">
        <f>J96-G96</f>
        <v>-35.364077669902912</v>
      </c>
      <c r="N96" s="396">
        <f>L96-I96</f>
        <v>-45220.873786407763</v>
      </c>
      <c r="O96" s="397">
        <f t="shared" ref="O96" si="55">+O94+O95</f>
        <v>36</v>
      </c>
      <c r="P96" s="395">
        <f>IF(O96&lt;=0,0,Q96/O96)</f>
        <v>1806.9647222222216</v>
      </c>
      <c r="Q96" s="396">
        <f>+Q94+Q95</f>
        <v>65050.729999999974</v>
      </c>
      <c r="R96" s="397">
        <f t="shared" ref="R96:S96" si="56">R94+R95</f>
        <v>-36</v>
      </c>
      <c r="S96" s="398">
        <f t="shared" si="56"/>
        <v>-65050.729999999974</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30.773569833477374</v>
      </c>
      <c r="E99" s="173">
        <f t="shared" si="50"/>
        <v>212</v>
      </c>
      <c r="F99" s="173">
        <f>+INDEX('Budget original'!$A$2:$AO$500,MATCH($A99,'Budget original'!$A$2:$A$500,0),MATCH(F$2,'Budget original'!$A$2:$AO$2,0))</f>
        <v>6523.9968046972035</v>
      </c>
      <c r="G99" s="176">
        <f>+INDEX('Budget révisé'!$A$2:$AO$500,MATCH($A99,'Budget révisé'!$A$2:$A$500,0),MATCH(G$2,'Budget révisé'!$A$2:$AO$2,0))</f>
        <v>30.773569833477374</v>
      </c>
      <c r="H99" s="173">
        <f t="shared" ref="H99:H104" si="57">IF(G99=0,0,I99/G99)</f>
        <v>212</v>
      </c>
      <c r="I99" s="173">
        <f>+INDEX('Budget révisé'!$A$2:$AO$500,MATCH($A99,'Budget révisé'!$A$2:$A$500,0),MATCH(I$2,'Budget révisé'!$A$2:$AO$2,0))</f>
        <v>6523.9968046972035</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-30.773569833477374</v>
      </c>
      <c r="N99" s="174">
        <f t="shared" ref="N99" si="60">L99-I99</f>
        <v>-6523.9968046972035</v>
      </c>
      <c r="O99" s="176">
        <f>-SUMIFS(BV_Data_An_Prec!$O:$O,BV_Data_An_Prec!$U:$U,$B99,BV_Data_An_Prec!$V:$V,$C99,BV_Data_An_Prec!$W:$W,O$2)</f>
        <v>66</v>
      </c>
      <c r="P99" s="173">
        <f t="shared" ref="P99" si="61">IF(O99=0,0,Q99/O99)</f>
        <v>432.92848484848525</v>
      </c>
      <c r="Q99" s="174">
        <f>-SUMIFS(BV_Data_An_Prec!$O:$O,BV_Data_An_Prec!$U:$U,$B99,BV_Data_An_Prec!$V:$V,$C99,BV_Data_An_Prec!$W:$W,Q$2)</f>
        <v>28573.280000000028</v>
      </c>
      <c r="R99" s="176">
        <f t="shared" ref="R99" si="62">J99-O99</f>
        <v>-66</v>
      </c>
      <c r="S99" s="393">
        <f t="shared" ref="S99" si="63">L99-Q99</f>
        <v>-28573.280000000028</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23303.544876496268</v>
      </c>
      <c r="G101" s="176">
        <f>+INDEX('Budget révisé'!$A$2:$AO$500,MATCH($A101,'Budget révisé'!$A$2:$A$500,0),MATCH(G$2,'Budget révisé'!$A$2:$AO$2,0))</f>
        <v>0</v>
      </c>
      <c r="H101" s="173">
        <f t="shared" si="57"/>
        <v>0</v>
      </c>
      <c r="I101" s="173">
        <f>+INDEX('Budget révisé'!$A$2:$AO$500,MATCH($A101,'Budget révisé'!$A$2:$A$500,0),MATCH(I$2,'Budget révisé'!$A$2:$AO$2,0))</f>
        <v>23303.544876496268</v>
      </c>
      <c r="J101" s="176"/>
      <c r="K101" s="173">
        <f>IF(J96=0,0,L101/J96)</f>
        <v>0</v>
      </c>
      <c r="L101" s="174">
        <f>-SUMIFS(BV_Data_An_Cour!$P:$P,BV_Data_An_Cour!$V:$V,$B101,BV_Data_An_Cour!$W:$W,$C101,BV_Data_An_Cour!$X:$X,$L2)</f>
        <v>0</v>
      </c>
      <c r="M101" s="176"/>
      <c r="N101" s="174">
        <f t="shared" ref="N101:N104" si="64">L101-I101</f>
        <v>-23303.544876496268</v>
      </c>
      <c r="O101" s="176"/>
      <c r="P101" s="173">
        <f>IF(O96=0,0,Q101/O96)</f>
        <v>1101.5369444444445</v>
      </c>
      <c r="Q101" s="174">
        <f>-SUMIFS(BV_Data_An_Prec!$O:$O,BV_Data_An_Prec!$U:$U,$B101,BV_Data_An_Prec!$V:$V,$C101,BV_Data_An_Prec!$W:$W,$L2)</f>
        <v>39655.33</v>
      </c>
      <c r="R101" s="176">
        <f t="shared" ref="R101:R103" si="65">O101-K101</f>
        <v>0</v>
      </c>
      <c r="S101" s="393">
        <f t="shared" ref="S101:S104" si="66">L101-Q101</f>
        <v>-39655.33</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41087.565501256133</v>
      </c>
      <c r="G102" s="176">
        <f>+INDEX('Budget révisé'!$A$2:$AO$500,MATCH($A102,'Budget révisé'!$A$2:$A$500,0),MATCH(G$2,'Budget révisé'!$A$2:$AO$2,0))</f>
        <v>0</v>
      </c>
      <c r="H102" s="173">
        <f t="shared" si="57"/>
        <v>0</v>
      </c>
      <c r="I102" s="173">
        <f>+INDEX('Budget révisé'!$A$2:$AO$500,MATCH($A102,'Budget révisé'!$A$2:$A$500,0),MATCH(I$2,'Budget révisé'!$A$2:$AO$2,0))</f>
        <v>41087.565501256133</v>
      </c>
      <c r="J102" s="176"/>
      <c r="K102" s="173">
        <f>IF(J96=0,0,L102/J96)</f>
        <v>0</v>
      </c>
      <c r="L102" s="174">
        <f>-SUMIFS(BV_Data_An_Cour!$P:$P,BV_Data_An_Cour!$V:$V,$B102,BV_Data_An_Cour!$W:$W,$C102,BV_Data_An_Cour!$X:$X,$L2)</f>
        <v>0</v>
      </c>
      <c r="M102" s="176"/>
      <c r="N102" s="174">
        <f t="shared" si="64"/>
        <v>-41087.565501256133</v>
      </c>
      <c r="O102" s="176"/>
      <c r="P102" s="173">
        <f>IF(O96=0,0,Q102/O96)</f>
        <v>1305.5661111111112</v>
      </c>
      <c r="Q102" s="174">
        <f>-SUMIFS(BV_Data_An_Prec!$O:$O,BV_Data_An_Prec!$U:$U,$B102,BV_Data_An_Prec!$V:$V,$C102,BV_Data_An_Prec!$W:$W,$L2)</f>
        <v>47000.380000000005</v>
      </c>
      <c r="R102" s="176">
        <f t="shared" si="65"/>
        <v>0</v>
      </c>
      <c r="S102" s="393">
        <f t="shared" si="66"/>
        <v>-47000.380000000005</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1165.359791170544</v>
      </c>
      <c r="G103" s="176">
        <f>+INDEX('Budget révisé'!$A$2:$AO$500,MATCH($A103,'Budget révisé'!$A$2:$A$500,0),MATCH(G$2,'Budget révisé'!$A$2:$AO$2,0))</f>
        <v>0</v>
      </c>
      <c r="H103" s="401">
        <f t="shared" si="57"/>
        <v>0</v>
      </c>
      <c r="I103" s="173">
        <f>+INDEX('Budget révisé'!$A$2:$AO$500,MATCH($A103,'Budget révisé'!$A$2:$A$500,0),MATCH(I$2,'Budget révisé'!$A$2:$AO$2,0))</f>
        <v>1165.359791170544</v>
      </c>
      <c r="J103" s="176"/>
      <c r="K103" s="401">
        <f>IF(J96=0,0,L103/J96)</f>
        <v>0</v>
      </c>
      <c r="L103" s="174">
        <f>-SUMIFS(BV_Data_An_Cour!$P:$P,BV_Data_An_Cour!$V:$V,$B103,BV_Data_An_Cour!$W:$W,$C103,BV_Data_An_Cour!$X:$X,$L$2)</f>
        <v>0</v>
      </c>
      <c r="M103" s="400"/>
      <c r="N103" s="174">
        <f t="shared" si="64"/>
        <v>-1165.359791170544</v>
      </c>
      <c r="O103" s="176"/>
      <c r="P103" s="401">
        <f>IF(O96=0,0,Q103/O96)</f>
        <v>60.734999999999999</v>
      </c>
      <c r="Q103" s="174">
        <f>-SUMIFS(BV_Data_An_Prec!$O:$O,BV_Data_An_Prec!$U:$U,$B103,BV_Data_An_Prec!$V:$V,$C103,BV_Data_An_Prec!$W:$W,$L$2)</f>
        <v>2186.46</v>
      </c>
      <c r="R103" s="176">
        <f t="shared" si="65"/>
        <v>0</v>
      </c>
      <c r="S103" s="393">
        <f t="shared" si="66"/>
        <v>-2186.46</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35.364077669902912</v>
      </c>
      <c r="E104" s="173">
        <f t="shared" si="50"/>
        <v>1853.758799560484</v>
      </c>
      <c r="F104" s="396">
        <f>F101+F102+F103</f>
        <v>65556.470168922941</v>
      </c>
      <c r="G104" s="397">
        <f>G96</f>
        <v>35.364077669902912</v>
      </c>
      <c r="H104" s="395">
        <f t="shared" si="57"/>
        <v>1853.758799560484</v>
      </c>
      <c r="I104" s="396">
        <f>I101+I102+I103</f>
        <v>65556.470168922941</v>
      </c>
      <c r="J104" s="397">
        <f>J96</f>
        <v>0</v>
      </c>
      <c r="K104" s="395">
        <f>IF(J104&lt;=0,0,L104/J104)</f>
        <v>0</v>
      </c>
      <c r="L104" s="396">
        <f>L101+L102+L103</f>
        <v>0</v>
      </c>
      <c r="M104" s="176">
        <f>J104-G104</f>
        <v>-35.364077669902912</v>
      </c>
      <c r="N104" s="396">
        <f t="shared" si="64"/>
        <v>-65556.470168922941</v>
      </c>
      <c r="O104" s="397">
        <f>O96</f>
        <v>36</v>
      </c>
      <c r="P104" s="395">
        <f>IF(O104&lt;=0,0,Q104/O104)</f>
        <v>2467.8380555555559</v>
      </c>
      <c r="Q104" s="396">
        <f>Q101+Q102+Q103</f>
        <v>88842.170000000013</v>
      </c>
      <c r="R104" s="405"/>
      <c r="S104" s="398">
        <f t="shared" si="66"/>
        <v>-88842.170000000013</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66.137647503380293</v>
      </c>
      <c r="E107" s="30">
        <f>IF(D107&lt;=0,0,F107/D107)</f>
        <v>1773.5940903255234</v>
      </c>
      <c r="F107" s="28">
        <f>F96+F104+F99</f>
        <v>117301.3407600279</v>
      </c>
      <c r="G107" s="29">
        <f>G96+G99</f>
        <v>66.137647503380293</v>
      </c>
      <c r="H107" s="30">
        <f>IF(G107&lt;=0,0,I107/G107)</f>
        <v>1773.5940903255234</v>
      </c>
      <c r="I107" s="28">
        <f>I96+I104+I99</f>
        <v>117301.3407600279</v>
      </c>
      <c r="J107" s="29">
        <f>J96+J99</f>
        <v>0</v>
      </c>
      <c r="K107" s="30">
        <f>IF(J107&lt;=0,0,L107/J107)</f>
        <v>0</v>
      </c>
      <c r="L107" s="28">
        <f>L96+L104+L99</f>
        <v>0</v>
      </c>
      <c r="M107" s="29">
        <f>J107-G107</f>
        <v>-66.137647503380293</v>
      </c>
      <c r="N107" s="28">
        <f>L107-I107</f>
        <v>-117301.3407600279</v>
      </c>
      <c r="O107" s="29">
        <f>O96+O99</f>
        <v>102</v>
      </c>
      <c r="P107" s="30">
        <f>IF(O107&lt;=0,0,Q107/O107)</f>
        <v>1788.8841176470589</v>
      </c>
      <c r="Q107" s="28">
        <f>Q96+Q104+Q99</f>
        <v>182466.18000000002</v>
      </c>
      <c r="R107" s="29">
        <f>J107-O107</f>
        <v>-102</v>
      </c>
      <c r="S107" s="357">
        <f>L107-Q107</f>
        <v>-182466.18000000002</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524.63606726149624</v>
      </c>
      <c r="F111" s="173">
        <f>+INDEX('Budget original'!$A$2:$AO$500,MATCH($A111,'Budget original'!$A$2:$A$500,0),MATCH(F$2,'Budget original'!$A$2:$AO$2,0))</f>
        <v>18553.27063106796</v>
      </c>
      <c r="G111" s="952">
        <f>I111/I96</f>
        <v>0.41028111749235147</v>
      </c>
      <c r="H111" s="191">
        <f t="shared" ref="H111:H116" si="68">I111/G$96</f>
        <v>524.63606726149624</v>
      </c>
      <c r="I111" s="173">
        <f>+INDEX('Budget révisé'!$A$2:$AO$500,MATCH($A111,'Budget révisé'!$A$2:$A$500,0),MATCH(I$2,'Budget révisé'!$A$2:$AO$2,0))</f>
        <v>18553.27063106796</v>
      </c>
      <c r="J111" s="952" t="e">
        <f>L111/L96</f>
        <v>#DIV/0!</v>
      </c>
      <c r="K111" s="191">
        <f t="shared" ref="K111:K116" si="69">IF($J$96=0,0,L111/(J$94+J$95))</f>
        <v>0</v>
      </c>
      <c r="L111" s="174">
        <f>SUMIFS(BV_Data_An_Cour!$P:$P,BV_Data_An_Cour!$V:$V,$B111,BV_Data_An_Cour!$W:$W,$C111,BV_Data_An_Cour!$X:$X,$L$2)</f>
        <v>0</v>
      </c>
      <c r="M111" s="297"/>
      <c r="N111" s="298">
        <f t="shared" ref="N111:N121" si="70">L111-I111</f>
        <v>-18553.27063106796</v>
      </c>
      <c r="O111" s="297"/>
      <c r="P111" s="191">
        <f t="shared" ref="P111:P116" si="71">IF($J$96=0,0,Q111/(O$94+O$95))</f>
        <v>0</v>
      </c>
      <c r="Q111" s="174">
        <f>SUMIFS(BV_Data_An_Prec!$O:$O,BV_Data_An_Prec!$U:$U,$B111,BV_Data_An_Prec!$V:$V,$C111,BV_Data_An_Prec!$W:$W,$L$2)</f>
        <v>24414</v>
      </c>
      <c r="R111" s="297"/>
      <c r="S111" s="193">
        <f t="shared" ref="S111:S121" si="72">L111-Q111</f>
        <v>-24414</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556.12763986814514</v>
      </c>
      <c r="F112" s="171">
        <f>+INDEX('Budget original'!$A$2:$AO$500,MATCH($A112,'Budget original'!$A$2:$A$500,0),MATCH(F$2,'Budget original'!$A$2:$AO$2,0))</f>
        <v>19666.94105067688</v>
      </c>
      <c r="G112" s="953">
        <f>I112/I104</f>
        <v>0.3</v>
      </c>
      <c r="H112" s="407">
        <f t="shared" si="68"/>
        <v>556.12763986814514</v>
      </c>
      <c r="I112" s="171">
        <f>+INDEX('Budget révisé'!$A$2:$AO$500,MATCH($A112,'Budget révisé'!$A$2:$A$500,0),MATCH(I$2,'Budget révisé'!$A$2:$AO$2,0))</f>
        <v>19666.94105067688</v>
      </c>
      <c r="J112" s="953" t="e">
        <f>L112/L104</f>
        <v>#DIV/0!</v>
      </c>
      <c r="K112" s="407">
        <f t="shared" si="69"/>
        <v>0</v>
      </c>
      <c r="L112" s="275">
        <f>SUMIFS(BV_Data_An_Cour!$P:$P,BV_Data_An_Cour!$V:$V,$B112,BV_Data_An_Cour!$W:$W,$C112,BV_Data_An_Cour!$X:$X,$L$2)</f>
        <v>0</v>
      </c>
      <c r="M112" s="304"/>
      <c r="N112" s="305">
        <f t="shared" si="70"/>
        <v>-19666.94105067688</v>
      </c>
      <c r="O112" s="304"/>
      <c r="P112" s="407">
        <f t="shared" si="71"/>
        <v>0</v>
      </c>
      <c r="Q112" s="174">
        <f>SUMIFS(BV_Data_An_Prec!$O:$O,BV_Data_An_Prec!$U:$U,$B112,BV_Data_An_Prec!$V:$V,$C112,BV_Data_An_Prec!$W:$W,$L$2)</f>
        <v>28568.27</v>
      </c>
      <c r="R112" s="304"/>
      <c r="S112" s="196">
        <f t="shared" si="72"/>
        <v>-28568.27</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2468.7433922536175</v>
      </c>
      <c r="G113" s="296"/>
      <c r="H113" s="191">
        <f t="shared" si="68"/>
        <v>69.809353301886787</v>
      </c>
      <c r="I113" s="173">
        <f>+INDEX('Budget révisé'!$A$2:$AO$500,MATCH($A113,'Budget révisé'!$A$2:$A$500,0),MATCH(I$2,'Budget révisé'!$A$2:$AO$2,0))</f>
        <v>2468.7433922536175</v>
      </c>
      <c r="J113" s="297"/>
      <c r="K113" s="222">
        <f t="shared" si="69"/>
        <v>0</v>
      </c>
      <c r="L113" s="239">
        <f>SUMIFS(BV_Data_An_Cour!$P:$P,BV_Data_An_Cour!$V:$V,$B113,BV_Data_An_Cour!$W:$W,$C113,BV_Data_An_Cour!$X:$X,$L$2)</f>
        <v>0</v>
      </c>
      <c r="M113" s="297"/>
      <c r="N113" s="298">
        <f t="shared" si="70"/>
        <v>-2468.7433922536175</v>
      </c>
      <c r="O113" s="297"/>
      <c r="P113" s="191">
        <f t="shared" si="71"/>
        <v>0</v>
      </c>
      <c r="Q113" s="175">
        <f>SUMIFS(BV_Data_An_Prec!$O:$O,BV_Data_An_Prec!$U:$U,$B113,BV_Data_An_Prec!$V:$V,$C113,BV_Data_An_Prec!$W:$W,$L$2)</f>
        <v>568.17999999999995</v>
      </c>
      <c r="R113" s="297"/>
      <c r="S113" s="193">
        <f t="shared" si="72"/>
        <v>-568.17999999999995</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1185.086136423223</v>
      </c>
      <c r="G114" s="296"/>
      <c r="H114" s="191">
        <f t="shared" si="68"/>
        <v>33.51101497641509</v>
      </c>
      <c r="I114" s="173">
        <f>+INDEX('Budget révisé'!$A$2:$AO$500,MATCH($A114,'Budget révisé'!$A$2:$A$500,0),MATCH(I$2,'Budget révisé'!$A$2:$AO$2,0))</f>
        <v>1185.086136423223</v>
      </c>
      <c r="J114" s="297"/>
      <c r="K114" s="222">
        <f t="shared" si="69"/>
        <v>0</v>
      </c>
      <c r="L114" s="275">
        <f>SUMIFS(BV_Data_An_Cour!$P:$P,BV_Data_An_Cour!$V:$V,$B114,BV_Data_An_Cour!$W:$W,$C114,BV_Data_An_Cour!$X:$X,$L$2)</f>
        <v>0</v>
      </c>
      <c r="M114" s="297"/>
      <c r="N114" s="298">
        <f t="shared" si="70"/>
        <v>-1185.086136423223</v>
      </c>
      <c r="O114" s="297"/>
      <c r="P114" s="191">
        <f t="shared" si="71"/>
        <v>0</v>
      </c>
      <c r="Q114" s="174">
        <f>SUMIFS(BV_Data_An_Prec!$O:$O,BV_Data_An_Prec!$U:$U,$B114,BV_Data_An_Prec!$V:$V,$C114,BV_Data_An_Prec!$W:$W,$L$2)</f>
        <v>8166.93</v>
      </c>
      <c r="R114" s="297"/>
      <c r="S114" s="193">
        <f t="shared" si="72"/>
        <v>-8166.93</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3131.4874095530313</v>
      </c>
      <c r="G115" s="303"/>
      <c r="H115" s="407">
        <f t="shared" si="68"/>
        <v>88.549952830188673</v>
      </c>
      <c r="I115" s="171">
        <f>+INDEX('Budget révisé'!$A$2:$AO$500,MATCH($A115,'Budget révisé'!$A$2:$A$500,0),MATCH(I$2,'Budget révisé'!$A$2:$AO$2,0))</f>
        <v>3131.4874095530313</v>
      </c>
      <c r="J115" s="304"/>
      <c r="K115" s="1120">
        <f t="shared" si="69"/>
        <v>0</v>
      </c>
      <c r="L115" s="1122">
        <f>SUMIFS(BV_Data_An_Cour!$P:$P,BV_Data_An_Cour!$V:$V,$B115,BV_Data_An_Cour!$W:$W,$C115,BV_Data_An_Cour!$X:$X,$L$2)</f>
        <v>0</v>
      </c>
      <c r="M115" s="304"/>
      <c r="N115" s="305">
        <f t="shared" si="70"/>
        <v>-3131.4874095530313</v>
      </c>
      <c r="O115" s="304"/>
      <c r="P115" s="407">
        <f t="shared" si="71"/>
        <v>0</v>
      </c>
      <c r="Q115" s="399">
        <f>SUMIFS(BV_Data_An_Prec!$O:$O,BV_Data_An_Prec!$U:$U,$B115,BV_Data_An_Prec!$V:$V,$C115,BV_Data_An_Prec!$W:$W,$L$2)</f>
        <v>2670.66</v>
      </c>
      <c r="R115" s="304"/>
      <c r="S115" s="196">
        <f t="shared" si="72"/>
        <v>-2670.66</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42.755319148936181</v>
      </c>
      <c r="F116" s="173">
        <f>+INDEX('Budget original'!$A$2:$AO$500,MATCH($A116,'Budget original'!$A$2:$A$500,0),MATCH(F$2,'Budget original'!$A$2:$AO$2,0))</f>
        <v>1512.0024271844663</v>
      </c>
      <c r="G116" s="296"/>
      <c r="H116" s="191">
        <f t="shared" si="68"/>
        <v>42.755319148936181</v>
      </c>
      <c r="I116" s="173">
        <f>+INDEX('Budget révisé'!$A$2:$AO$500,MATCH($A116,'Budget révisé'!$A$2:$A$500,0),MATCH(I$2,'Budget révisé'!$A$2:$AO$2,0))</f>
        <v>1512.0024271844663</v>
      </c>
      <c r="J116" s="297"/>
      <c r="K116" s="222">
        <f t="shared" si="69"/>
        <v>0</v>
      </c>
      <c r="L116" s="275">
        <f>SUMIFS(BV_Data_An_Cour!$P:$P,BV_Data_An_Cour!$V:$V,$B116,BV_Data_An_Cour!$W:$W,$C116,BV_Data_An_Cour!$X:$X,$L$2)</f>
        <v>0</v>
      </c>
      <c r="M116" s="297"/>
      <c r="N116" s="298">
        <f t="shared" si="70"/>
        <v>-1512.0024271844663</v>
      </c>
      <c r="O116" s="297"/>
      <c r="P116" s="191">
        <f t="shared" si="71"/>
        <v>0</v>
      </c>
      <c r="Q116" s="174">
        <f>SUMIFS(BV_Data_An_Prec!$O:$O,BV_Data_An_Prec!$U:$U,$B116,BV_Data_An_Prec!$V:$V,$C116,BV_Data_An_Prec!$W:$W,$L$2)</f>
        <v>2342.4899999999998</v>
      </c>
      <c r="R116" s="297"/>
      <c r="S116" s="193">
        <f t="shared" si="72"/>
        <v>-2342.4899999999998</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20.870747023134125</v>
      </c>
      <c r="F117" s="173">
        <f>+INDEX('Budget original'!$A$2:$AO$500,MATCH($A117,'Budget original'!$A$2:$A$500,0),MATCH(F$2,'Budget original'!$A$2:$AO$2,0))</f>
        <v>738.07471875501017</v>
      </c>
      <c r="G117" s="296"/>
      <c r="H117" s="191">
        <f t="shared" ref="H117:H119" si="74">I117/G$96</f>
        <v>20.870747023134125</v>
      </c>
      <c r="I117" s="173">
        <f>+INDEX('Budget révisé'!$A$2:$AO$500,MATCH($A117,'Budget révisé'!$A$2:$A$500,0),MATCH(I$2,'Budget révisé'!$A$2:$AO$2,0))</f>
        <v>738.07471875501017</v>
      </c>
      <c r="J117" s="297"/>
      <c r="K117" s="191">
        <f t="shared" ref="K117:K119" si="75">IF($J$96=0,0,L117/(J$94+J$95))</f>
        <v>0</v>
      </c>
      <c r="L117" s="174">
        <f>SUMIFS(BV_Data_An_Cour!$P:$P,BV_Data_An_Cour!$V:$V,$B117,BV_Data_An_Cour!$W:$W,$C117,BV_Data_An_Cour!$X:$X,$L$2)</f>
        <v>0</v>
      </c>
      <c r="M117" s="297"/>
      <c r="N117" s="298">
        <f t="shared" ref="N117:N119" si="76">L117-I117</f>
        <v>-738.07471875501017</v>
      </c>
      <c r="O117" s="297"/>
      <c r="P117" s="191">
        <f t="shared" ref="P117:P119" si="77">IF($J$96=0,0,Q117/(O$94+O$95))</f>
        <v>0</v>
      </c>
      <c r="Q117" s="174">
        <f>SUMIFS(BV_Data_An_Prec!$O:$O,BV_Data_An_Prec!$U:$U,$B117,BV_Data_An_Prec!$V:$V,$C117,BV_Data_An_Prec!$W:$W,$L$2)</f>
        <v>470.61</v>
      </c>
      <c r="R117" s="297"/>
      <c r="S117" s="193">
        <f t="shared" ref="S117:S119" si="78">L117-Q117</f>
        <v>-470.61</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0.40285648450164352</v>
      </c>
      <c r="F121" s="41">
        <f>SUM(F111:F120)</f>
        <v>47255.605765914188</v>
      </c>
      <c r="G121" s="42" t="s">
        <v>111</v>
      </c>
      <c r="H121" s="40">
        <f>I121/I$107</f>
        <v>0.40285648450164352</v>
      </c>
      <c r="I121" s="41">
        <f>SUM(I111:I120)</f>
        <v>47255.605765914188</v>
      </c>
      <c r="J121" s="42" t="s">
        <v>111</v>
      </c>
      <c r="K121" s="40" t="e">
        <f>L121/L$107</f>
        <v>#DIV/0!</v>
      </c>
      <c r="L121" s="41">
        <f>SUM(L111:L120)</f>
        <v>0</v>
      </c>
      <c r="M121" s="44"/>
      <c r="N121" s="41">
        <f t="shared" si="70"/>
        <v>-47255.605765914188</v>
      </c>
      <c r="O121" s="42" t="s">
        <v>111</v>
      </c>
      <c r="P121" s="40">
        <f>Q121/Q$107</f>
        <v>0.36829367502514715</v>
      </c>
      <c r="Q121" s="41">
        <f>SUM(Q111:Q120)</f>
        <v>67201.140000000014</v>
      </c>
      <c r="R121" s="44"/>
      <c r="S121" s="310">
        <f t="shared" si="72"/>
        <v>-67201.140000000014</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0</v>
      </c>
      <c r="M122" s="297"/>
      <c r="N122" s="298">
        <f t="shared" ref="N122:N133" si="79">L122-I122</f>
        <v>-8074.4819923371651</v>
      </c>
      <c r="O122" s="297"/>
      <c r="P122" s="172"/>
      <c r="Q122" s="174">
        <f>SUMIFS(BV_Data_An_Prec!$O:$O,BV_Data_An_Prec!$U:$U,$B122,BV_Data_An_Prec!$V:$V,$C122,BV_Data_An_Prec!$W:$W,$L$2)</f>
        <v>6511.85</v>
      </c>
      <c r="R122" s="297"/>
      <c r="S122" s="193">
        <f t="shared" ref="S122:S133" si="80">L122-Q122</f>
        <v>-6511.85</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0</v>
      </c>
      <c r="M123" s="297"/>
      <c r="N123" s="298">
        <f t="shared" si="79"/>
        <v>-2182.6728393409962</v>
      </c>
      <c r="O123" s="297"/>
      <c r="P123" s="172"/>
      <c r="Q123" s="171">
        <f>SUMIFS(BV_Data_An_Prec!$O:$O,BV_Data_An_Prec!$U:$U,$B123,BV_Data_An_Prec!$V:$V,$C123,BV_Data_An_Prec!$W:$W,$L$2)</f>
        <v>2150.94</v>
      </c>
      <c r="R123" s="297"/>
      <c r="S123" s="193">
        <f t="shared" si="80"/>
        <v>-2150.94</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0</v>
      </c>
      <c r="M124" s="362"/>
      <c r="N124" s="350">
        <f t="shared" si="79"/>
        <v>-8189.7951351417623</v>
      </c>
      <c r="O124" s="362"/>
      <c r="P124" s="346"/>
      <c r="Q124" s="174">
        <f>SUMIFS(BV_Data_An_Prec!$O:$O,BV_Data_An_Prec!$U:$U,$B124,BV_Data_An_Prec!$V:$V,$C124,BV_Data_An_Prec!$W:$W,$L$2)</f>
        <v>9755.44</v>
      </c>
      <c r="R124" s="362"/>
      <c r="S124" s="195">
        <f t="shared" si="80"/>
        <v>-9755.44</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6630.313599105928</v>
      </c>
      <c r="G129" s="296"/>
      <c r="H129" s="172"/>
      <c r="I129" s="173">
        <f>+INDEX('Budget révisé'!$A$2:$AO$500,MATCH($A129,'Budget révisé'!$A$2:$A$500,0),MATCH(I$2,'Budget révisé'!$A$2:$AO$2,0))</f>
        <v>6630.313599105928</v>
      </c>
      <c r="J129" s="297"/>
      <c r="K129" s="172"/>
      <c r="L129" s="174">
        <f>SUMIFS(BV_Data_An_Cour!$P:$P,BV_Data_An_Cour!$V:$V,$B129,BV_Data_An_Cour!$W:$W,$C129,BV_Data_An_Cour!$X:$X,$L$2)</f>
        <v>0</v>
      </c>
      <c r="M129" s="297"/>
      <c r="N129" s="298">
        <f t="shared" si="81"/>
        <v>-6630.313599105928</v>
      </c>
      <c r="O129" s="297"/>
      <c r="P129" s="172"/>
      <c r="Q129" s="174">
        <f>SUMIFS(BV_Data_An_Prec!$O:$O,BV_Data_An_Prec!$U:$U,$B129,BV_Data_An_Prec!$V:$V,$C129,BV_Data_An_Prec!$W:$W,$L$2)</f>
        <v>3296.16</v>
      </c>
      <c r="R129" s="297"/>
      <c r="S129" s="193">
        <f t="shared" si="82"/>
        <v>-3296.16</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5938.1254731296058</v>
      </c>
      <c r="G130" s="281"/>
      <c r="H130" s="280"/>
      <c r="I130" s="626">
        <f>+INDEX('Budget révisé'!$A$2:$AO$500,MATCH($A130,'Budget révisé'!$A$2:$A$500,0),MATCH(I$2,'Budget révisé'!$A$2:$AO$2,0))</f>
        <v>5938.1254731296058</v>
      </c>
      <c r="J130" s="282"/>
      <c r="K130" s="280"/>
      <c r="L130" s="627">
        <f>SUMIFS(BV_Data_An_Cour!$P:$P,BV_Data_An_Cour!$V:$V,$B130,BV_Data_An_Cour!$W:$W,$C130,BV_Data_An_Cour!$X:$X,$L$2)</f>
        <v>0</v>
      </c>
      <c r="M130" s="282"/>
      <c r="N130" s="350">
        <f t="shared" si="79"/>
        <v>-5938.1254731296058</v>
      </c>
      <c r="O130" s="282"/>
      <c r="P130" s="280"/>
      <c r="Q130" s="627">
        <f>SUMIFS(BV_Data_An_Prec!$O:$O,BV_Data_An_Prec!$U:$U,$B130,BV_Data_An_Prec!$V:$V,$C130,BV_Data_An_Prec!$W:$W,$L$2)</f>
        <v>6421.37</v>
      </c>
      <c r="R130" s="282"/>
      <c r="S130" s="284">
        <f t="shared" si="80"/>
        <v>-6421.37</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4715.5702286617461</v>
      </c>
      <c r="G131" s="277"/>
      <c r="H131" s="227"/>
      <c r="I131" s="225">
        <f>+INDEX('Budget révisé'!$A$2:$AO$500,MATCH($A131,'Budget révisé'!$A$2:$A$500,0),MATCH(I$2,'Budget révisé'!$A$2:$AO$2,0))</f>
        <v>4715.5702286617461</v>
      </c>
      <c r="J131" s="221"/>
      <c r="K131" s="227"/>
      <c r="L131" s="275">
        <f>SUMIFS(BV_Data_An_Cour!$P:$P,BV_Data_An_Cour!$V:$V,$B131,BV_Data_An_Cour!$W:$W,$C131,BV_Data_An_Cour!$X:$X,$L$2)</f>
        <v>0</v>
      </c>
      <c r="M131" s="221"/>
      <c r="N131" s="298">
        <f t="shared" si="79"/>
        <v>-4715.5702286617461</v>
      </c>
      <c r="O131" s="221"/>
      <c r="P131" s="227"/>
      <c r="Q131" s="275">
        <f>SUMIFS(BV_Data_An_Prec!$O:$O,BV_Data_An_Prec!$U:$U,$B131,BV_Data_An_Prec!$V:$V,$C131,BV_Data_An_Prec!$W:$W,$L$2)</f>
        <v>4601.9799999999996</v>
      </c>
      <c r="R131" s="221"/>
      <c r="S131" s="278">
        <f t="shared" si="80"/>
        <v>-4601.9799999999996</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1921.1582413066376</v>
      </c>
      <c r="G132" s="277"/>
      <c r="H132" s="227"/>
      <c r="I132" s="225">
        <f>+INDEX('Budget révisé'!$A$2:$AO$500,MATCH($A132,'Budget révisé'!$A$2:$A$500,0),MATCH(I$2,'Budget révisé'!$A$2:$AO$2,0))</f>
        <v>1921.1582413066376</v>
      </c>
      <c r="J132" s="221"/>
      <c r="K132" s="227"/>
      <c r="L132" s="275">
        <f>SUMIFS(BV_Data_An_Cour!$P:$P,BV_Data_An_Cour!$V:$V,$B132,BV_Data_An_Cour!$W:$W,$C132,BV_Data_An_Cour!$X:$X,$L$2)</f>
        <v>0</v>
      </c>
      <c r="M132" s="221"/>
      <c r="N132" s="298">
        <f t="shared" si="79"/>
        <v>-1921.1582413066376</v>
      </c>
      <c r="O132" s="221"/>
      <c r="P132" s="227"/>
      <c r="Q132" s="275">
        <f>SUMIFS(BV_Data_An_Prec!$O:$O,BV_Data_An_Prec!$U:$U,$B132,BV_Data_An_Prec!$V:$V,$C132,BV_Data_An_Prec!$W:$W,$L$2)</f>
        <v>1070.23</v>
      </c>
      <c r="R132" s="221"/>
      <c r="S132" s="278">
        <f t="shared" si="80"/>
        <v>-1070.23</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0.32098625015763105</v>
      </c>
      <c r="F134" s="41">
        <f>+SUM(F122:F133)</f>
        <v>37652.117509023839</v>
      </c>
      <c r="G134" s="42" t="s">
        <v>111</v>
      </c>
      <c r="H134" s="40">
        <f>I134/I$107</f>
        <v>0.32098625015763105</v>
      </c>
      <c r="I134" s="41">
        <f>+SUM(I122:I133)</f>
        <v>37652.117509023839</v>
      </c>
      <c r="J134" s="42" t="s">
        <v>111</v>
      </c>
      <c r="K134" s="40" t="e">
        <f>L134/L$107</f>
        <v>#DIV/0!</v>
      </c>
      <c r="L134" s="41">
        <f>SUM(L122:L133)</f>
        <v>0</v>
      </c>
      <c r="M134" s="43"/>
      <c r="N134" s="46">
        <f t="shared" ref="N134:N147" si="83">L134-I134</f>
        <v>-37652.117509023839</v>
      </c>
      <c r="O134" s="42" t="s">
        <v>111</v>
      </c>
      <c r="P134" s="40">
        <f>Q134/Q$107</f>
        <v>0.18528348650692417</v>
      </c>
      <c r="Q134" s="41">
        <f>SUM(Q122:Q133)</f>
        <v>33807.97</v>
      </c>
      <c r="R134" s="43"/>
      <c r="S134" s="293">
        <f t="shared" ref="S134:S147" si="84">L134-Q134</f>
        <v>-33807.97</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-270.08999999999997</v>
      </c>
      <c r="R137" s="304"/>
      <c r="S137" s="196">
        <f t="shared" si="84"/>
        <v>270.08999999999997</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1808.74</v>
      </c>
      <c r="R138" s="297"/>
      <c r="S138" s="193">
        <f t="shared" si="84"/>
        <v>-1808.74</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215.45</v>
      </c>
      <c r="R139" s="297"/>
      <c r="S139" s="193">
        <f t="shared" si="84"/>
        <v>-215.45</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1651.6650666666665</v>
      </c>
      <c r="G140" s="303"/>
      <c r="H140" s="302"/>
      <c r="I140" s="171">
        <f>+INDEX('Budget révisé'!$A$2:$AO$500,MATCH($A140,'Budget révisé'!$A$2:$A$500,0),MATCH(I$2,'Budget révisé'!$A$2:$AO$2,0))</f>
        <v>1651.6650666666665</v>
      </c>
      <c r="J140" s="304"/>
      <c r="K140" s="302"/>
      <c r="L140" s="238">
        <f>SUMIFS(BV_Data_An_Cour!$P:$P,BV_Data_An_Cour!$V:$V,$B140,BV_Data_An_Cour!$W:$W,$C140,BV_Data_An_Cour!$X:$X,$L$2)</f>
        <v>0</v>
      </c>
      <c r="M140" s="304"/>
      <c r="N140" s="305">
        <f t="shared" si="83"/>
        <v>-1651.6650666666665</v>
      </c>
      <c r="O140" s="304"/>
      <c r="P140" s="302"/>
      <c r="Q140" s="171">
        <f>SUMIFS(BV_Data_An_Prec!$O:$O,BV_Data_An_Prec!$U:$U,$B140,BV_Data_An_Prec!$V:$V,$C140,BV_Data_An_Prec!$W:$W,$L$2)</f>
        <v>2055.63</v>
      </c>
      <c r="R140" s="304"/>
      <c r="S140" s="196">
        <f t="shared" si="84"/>
        <v>-2055.63</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79.371050795832929</v>
      </c>
      <c r="G141" s="296"/>
      <c r="H141" s="172"/>
      <c r="I141" s="173">
        <f>+INDEX('Budget révisé'!$A$2:$AO$500,MATCH($A141,'Budget révisé'!$A$2:$A$500,0),MATCH(I$2,'Budget révisé'!$A$2:$AO$2,0))</f>
        <v>79.371050795832929</v>
      </c>
      <c r="J141" s="297"/>
      <c r="K141" s="172"/>
      <c r="L141" s="275">
        <f>SUMIFS(BV_Data_An_Cour!$P:$P,BV_Data_An_Cour!$V:$V,$B141,BV_Data_An_Cour!$W:$W,$C141,BV_Data_An_Cour!$X:$X,$L$2)</f>
        <v>0</v>
      </c>
      <c r="M141" s="297"/>
      <c r="N141" s="298">
        <f t="shared" si="83"/>
        <v>-79.371050795832929</v>
      </c>
      <c r="O141" s="297"/>
      <c r="P141" s="172"/>
      <c r="Q141" s="174">
        <f>SUMIFS(BV_Data_An_Prec!$O:$O,BV_Data_An_Prec!$U:$U,$B141,BV_Data_An_Prec!$V:$V,$C141,BV_Data_An_Prec!$W:$W,$L$2)</f>
        <v>7.8</v>
      </c>
      <c r="R141" s="297"/>
      <c r="S141" s="193">
        <f t="shared" si="84"/>
        <v>-7.8</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42.175689904034691</v>
      </c>
      <c r="G142" s="296"/>
      <c r="H142" s="172"/>
      <c r="I142" s="173">
        <f>+INDEX('Budget révisé'!$A$2:$AO$500,MATCH($A142,'Budget révisé'!$A$2:$A$500,0),MATCH(I$2,'Budget révisé'!$A$2:$AO$2,0))</f>
        <v>42.175689904034691</v>
      </c>
      <c r="J142" s="297"/>
      <c r="K142" s="172"/>
      <c r="L142" s="275">
        <f>SUMIFS(BV_Data_An_Cour!$P:$P,BV_Data_An_Cour!$V:$V,$B142,BV_Data_An_Cour!$W:$W,$C142,BV_Data_An_Cour!$X:$X,$L$2)</f>
        <v>0</v>
      </c>
      <c r="M142" s="297"/>
      <c r="N142" s="298">
        <f t="shared" si="83"/>
        <v>-42.175689904034691</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131.69</v>
      </c>
      <c r="R143" s="297"/>
      <c r="S143" s="193">
        <f t="shared" si="84"/>
        <v>-131.69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46.3</v>
      </c>
      <c r="R144" s="297"/>
      <c r="S144" s="193">
        <f t="shared" si="84"/>
        <v>-46.3</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127.03</v>
      </c>
      <c r="R145" s="297"/>
      <c r="S145" s="193">
        <f t="shared" si="84"/>
        <v>-127.03</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282.05</v>
      </c>
      <c r="R146" s="297"/>
      <c r="S146" s="193">
        <f t="shared" si="84"/>
        <v>-282.05</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10.62</v>
      </c>
      <c r="R147" s="297"/>
      <c r="S147" s="193">
        <f t="shared" si="84"/>
        <v>-10.62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1653.9931027671753</v>
      </c>
      <c r="G148" s="296"/>
      <c r="H148" s="172"/>
      <c r="I148" s="173">
        <f>+INDEX('Budget révisé'!$A$2:$AO$500,MATCH($A148,'Budget révisé'!$A$2:$A$500,0),MATCH(I$2,'Budget révisé'!$A$2:$AO$2,0))</f>
        <v>1653.9931027671753</v>
      </c>
      <c r="J148" s="297"/>
      <c r="K148" s="172"/>
      <c r="L148" s="275">
        <f>AF447*W4</f>
        <v>0</v>
      </c>
      <c r="M148" s="297"/>
      <c r="N148" s="298">
        <f t="shared" ref="N148:N151" si="85">L148-I148</f>
        <v>-1653.9931027671753</v>
      </c>
      <c r="O148" s="297"/>
      <c r="P148" s="172"/>
      <c r="Q148" s="275">
        <f>AL447*W4</f>
        <v>1143.393</v>
      </c>
      <c r="R148" s="297"/>
      <c r="S148" s="193">
        <f t="shared" ref="S148:S151" si="86">L148-Q148</f>
        <v>-1143.393</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6.3251134765903633E-2</v>
      </c>
      <c r="F152" s="41">
        <f>+SUM(F135:F151)</f>
        <v>7419.4429126337091</v>
      </c>
      <c r="G152" s="42" t="s">
        <v>111</v>
      </c>
      <c r="H152" s="40">
        <f>I152/I$107</f>
        <v>6.3251134765903633E-2</v>
      </c>
      <c r="I152" s="41">
        <f>+SUM(I135:I151)</f>
        <v>7419.4429126337091</v>
      </c>
      <c r="J152" s="42" t="s">
        <v>111</v>
      </c>
      <c r="K152" s="40" t="e">
        <f>L152/L$107</f>
        <v>#DIV/0!</v>
      </c>
      <c r="L152" s="41">
        <f>+SUM(L135:L151)</f>
        <v>0</v>
      </c>
      <c r="M152" s="44"/>
      <c r="N152" s="41">
        <f t="shared" ref="N152" si="87">L152-I152</f>
        <v>-7419.4429126337091</v>
      </c>
      <c r="O152" s="42" t="s">
        <v>111</v>
      </c>
      <c r="P152" s="40">
        <f>Q152/Q$107</f>
        <v>3.0463798825623469E-2</v>
      </c>
      <c r="Q152" s="41">
        <f>+SUM(Q135:Q151)</f>
        <v>5558.6130000000012</v>
      </c>
      <c r="R152" s="44"/>
      <c r="S152" s="310">
        <f t="shared" ref="S152" si="88">L152-Q152</f>
        <v>-5558.6130000000012</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0.78709386942517823</v>
      </c>
      <c r="F154" s="41">
        <f>F121+F134+F152</f>
        <v>92327.16618757174</v>
      </c>
      <c r="G154" s="42" t="s">
        <v>111</v>
      </c>
      <c r="H154" s="40">
        <f>I154/I$107</f>
        <v>0.78709386942517823</v>
      </c>
      <c r="I154" s="41">
        <f>I121+I134+I152</f>
        <v>92327.16618757174</v>
      </c>
      <c r="J154" s="42" t="s">
        <v>111</v>
      </c>
      <c r="K154" s="40" t="e">
        <f>L154/L$107</f>
        <v>#DIV/0!</v>
      </c>
      <c r="L154" s="41">
        <f>L121+L134+L152</f>
        <v>0</v>
      </c>
      <c r="M154" s="44"/>
      <c r="N154" s="46">
        <f>L154-I154</f>
        <v>-92327.16618757174</v>
      </c>
      <c r="O154" s="42" t="s">
        <v>111</v>
      </c>
      <c r="P154" s="40">
        <f>Q154/Q$107</f>
        <v>0.58404096035769482</v>
      </c>
      <c r="Q154" s="41">
        <f>Q121+Q134+Q152</f>
        <v>106567.72300000001</v>
      </c>
      <c r="R154" s="44"/>
      <c r="S154" s="293">
        <f>L154-Q154</f>
        <v>-106567.72300000001</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12699.240291262136</v>
      </c>
      <c r="G158" s="296"/>
      <c r="H158" s="172"/>
      <c r="I158" s="173">
        <f>+INDEX('Budget révisé'!$A$2:$AO$500,MATCH($A158,'Budget révisé'!$A$2:$A$500,0),MATCH(I$2,'Budget révisé'!$A$2:$AO$2,0))</f>
        <v>12699.240291262136</v>
      </c>
      <c r="J158" s="1327">
        <f>L158/399</f>
        <v>0</v>
      </c>
      <c r="K158" s="618" t="e">
        <f>J158/J96</f>
        <v>#DIV/0!</v>
      </c>
      <c r="L158" s="961">
        <f>349*J96</f>
        <v>0</v>
      </c>
      <c r="M158" s="297"/>
      <c r="N158" s="298">
        <f t="shared" ref="N158" si="91">L158-I158</f>
        <v>-12699.240291262136</v>
      </c>
      <c r="O158" s="297"/>
      <c r="P158" s="172"/>
      <c r="Q158" s="174">
        <f>349*O96</f>
        <v>12564</v>
      </c>
      <c r="R158" s="297"/>
      <c r="S158" s="193">
        <f t="shared" ref="S158" si="92">L158-Q158</f>
        <v>-12564</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12699.240291262136</v>
      </c>
      <c r="G162" s="42"/>
      <c r="H162" s="40"/>
      <c r="I162" s="41">
        <f>+SUM(I155:I161)</f>
        <v>12699.240291262136</v>
      </c>
      <c r="J162" s="42"/>
      <c r="K162" s="40"/>
      <c r="L162" s="41">
        <f>+SUM(L155:L161)</f>
        <v>0</v>
      </c>
      <c r="M162" s="44"/>
      <c r="N162" s="41">
        <f>SUM(N157:N157)</f>
        <v>0</v>
      </c>
      <c r="O162" s="42"/>
      <c r="P162" s="40"/>
      <c r="Q162" s="41">
        <f>+SUM(Q155:Q161)</f>
        <v>12564</v>
      </c>
      <c r="R162" s="44"/>
      <c r="S162" s="310">
        <f>+SUM(S155:S161)</f>
        <v>-12564</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37673.414863718295</v>
      </c>
      <c r="G164" s="338"/>
      <c r="H164" s="336"/>
      <c r="I164" s="337">
        <f>I107-I154+I162</f>
        <v>37673.414863718295</v>
      </c>
      <c r="J164" s="339"/>
      <c r="K164" s="340"/>
      <c r="L164" s="337">
        <f>L107-L154+L162</f>
        <v>0</v>
      </c>
      <c r="M164" s="339"/>
      <c r="N164" s="337">
        <f>L164-I164</f>
        <v>-37673.414863718295</v>
      </c>
      <c r="O164" s="339"/>
      <c r="P164" s="340"/>
      <c r="Q164" s="337">
        <f>Q107-Q154+Q162</f>
        <v>88462.457000000009</v>
      </c>
      <c r="R164" s="339"/>
      <c r="S164" s="341">
        <f>L164-Q164</f>
        <v>-88462.457000000009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Novembre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1072.2021954082472</v>
      </c>
      <c r="E171" s="191">
        <f>+INDEX('Budget original'!$A$2:$AO$500,MATCH($A171,'Budget original'!$A$2:$A$500,0),MATCH(E$2,'Budget original'!$A$2:$AO$2,0))</f>
        <v>265906.14446124533</v>
      </c>
      <c r="F171" s="191">
        <f>+INDEX('Budget original'!$A$2:$AO$500,MATCH($A171,'Budget original'!$A$2:$A$500,0),MATCH(F$2,'Budget original'!$A$2:$AO$2,0))</f>
        <v>199695.51449039526</v>
      </c>
      <c r="G171" s="319">
        <f>+INDEX('Budget révisé'!$A$2:$AO$500,MATCH($A171,'Budget révisé'!$A$2:$A$500,0),MATCH(G$2,'Budget révisé'!$A$2:$AO$2,0))</f>
        <v>1072.2021954082472</v>
      </c>
      <c r="H171" s="191">
        <f>+INDEX('Budget révisé'!$A$2:$AO$500,MATCH($A171,'Budget révisé'!$A$2:$A$500,0),MATCH(H$2,'Budget révisé'!$A$2:$AO$2,0))</f>
        <v>265906.14446124533</v>
      </c>
      <c r="I171" s="191">
        <f>+INDEX('Budget révisé'!$A$2:$AO$500,MATCH($A171,'Budget révisé'!$A$2:$A$500,0),MATCH(I$2,'Budget révisé'!$A$2:$AO$2,0))</f>
        <v>199695.51449039526</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-199695.51449039526</v>
      </c>
      <c r="O171" s="319">
        <f>-SUMIFS(BV_Data_An_Prec!$O:$O,BV_Data_An_Prec!$U:$U,$B171,BV_Data_An_Prec!$V:$V,$C171,BV_Data_An_Prec!$W:$W,O$2)</f>
        <v>1093</v>
      </c>
      <c r="P171" s="173">
        <f>-SUMIFS(BV_Data_An_Prec!$O:$O,BV_Data_An_Prec!$X:$X,"Oui",BV_Data_An_Prec!$U:$U,$B171,BV_Data_An_Prec!$V:$V,$C171)</f>
        <v>247684.88</v>
      </c>
      <c r="Q171" s="174">
        <f>-SUMIFS(BV_Data_An_Prec!$O:$O,BV_Data_An_Prec!$U:$U,$B171,BV_Data_An_Prec!$V:$V,$C171,BV_Data_An_Prec!$W:$W,$L$2)</f>
        <v>193895.83</v>
      </c>
      <c r="R171" s="318">
        <f>IF(O171=0,0,J171/O171)</f>
        <v>0</v>
      </c>
      <c r="S171" s="193">
        <f>L171-Q171</f>
        <v>-193895.83</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0.78283272680996907</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0">
        <f t="shared" ref="E173" si="95">IFERROR(E171/D171,0)</f>
        <v>248.00000000000003</v>
      </c>
      <c r="F173" s="353"/>
      <c r="G173" s="333"/>
      <c r="H173" s="1370">
        <f t="shared" ref="H173" si="96">IFERROR(H171/G171,0)</f>
        <v>248.00000000000003</v>
      </c>
      <c r="I173" s="353"/>
      <c r="J173" s="333"/>
      <c r="K173" s="1370">
        <f t="shared" ref="K173" si="97">IFERROR(K171/J171,0)</f>
        <v>0</v>
      </c>
      <c r="L173" s="353"/>
      <c r="M173" s="355"/>
      <c r="N173" s="305"/>
      <c r="O173" s="333"/>
      <c r="P173" s="1370">
        <f t="shared" ref="P173" si="98">IFERROR(P171/O171,0)</f>
        <v>226.61013723696249</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293.66824067836285</v>
      </c>
      <c r="E174" s="191">
        <f>+INDEX('Budget original'!$A$2:$AO$500,MATCH($A174,'Budget original'!$A$2:$A$500,0),MATCH(E$2,'Budget original'!$A$2:$AO$2,0))</f>
        <v>58174.981812782054</v>
      </c>
      <c r="F174" s="191">
        <f>+INDEX('Budget original'!$A$2:$AO$500,MATCH($A174,'Budget original'!$A$2:$A$500,0),MATCH(F$2,'Budget original'!$A$2:$AO$2,0))</f>
        <v>40981.430461882774</v>
      </c>
      <c r="G174" s="348">
        <f>+INDEX('Budget révisé'!$A$2:$AO$500,MATCH($A174,'Budget révisé'!$A$2:$A$500,0),MATCH(G$2,'Budget révisé'!$A$2:$AO$2,0))</f>
        <v>293.66824067836285</v>
      </c>
      <c r="H174" s="191">
        <f>+INDEX('Budget révisé'!$A$2:$AO$500,MATCH($A174,'Budget révisé'!$A$2:$A$500,0),MATCH(H$2,'Budget révisé'!$A$2:$AO$2,0))</f>
        <v>58174.981812782054</v>
      </c>
      <c r="I174" s="191">
        <f>+INDEX('Budget révisé'!$A$2:$AO$500,MATCH($A174,'Budget révisé'!$A$2:$A$500,0),MATCH(I$2,'Budget révisé'!$A$2:$AO$2,0))</f>
        <v>40981.430461882774</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-40981.430461882774</v>
      </c>
      <c r="O174" s="348">
        <f>-SUMIFS(BV_Data_An_Prec!$O:$O,BV_Data_An_Prec!$U:$U,$B174,BV_Data_An_Prec!$V:$V,$C174,BV_Data_An_Prec!$W:$W,O$2)</f>
        <v>373</v>
      </c>
      <c r="P174" s="180">
        <f>-SUMIFS(BV_Data_An_Prec!$O:$O,BV_Data_An_Prec!$X:$X,"Oui",BV_Data_An_Prec!$U:$U,$B174,BV_Data_An_Prec!$V:$V,$C174)</f>
        <v>29111.38</v>
      </c>
      <c r="Q174" s="174">
        <f>-SUMIFS(BV_Data_An_Prec!$O:$O,BV_Data_An_Prec!$U:$U,$B174,BV_Data_An_Prec!$V:$V,$C174,BV_Data_An_Prec!$W:$W,$L$2)</f>
        <v>21325.200000000001</v>
      </c>
      <c r="R174" s="318">
        <f>IF(O174=0,0,J174/O174)</f>
        <v>0</v>
      </c>
      <c r="S174" s="193">
        <f>L174-Q174</f>
        <v>-21325.200000000001</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0.73253827197473975</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0">
        <f t="shared" ref="E176" si="99">IFERROR(E174/D174,0)</f>
        <v>198.09762771214204</v>
      </c>
      <c r="F176" s="353"/>
      <c r="G176" s="333"/>
      <c r="H176" s="1370">
        <f t="shared" ref="H176" si="100">IFERROR(H174/G174,0)</f>
        <v>198.09762771214204</v>
      </c>
      <c r="I176" s="353"/>
      <c r="J176" s="333"/>
      <c r="K176" s="1370">
        <f t="shared" ref="K176" si="101">IFERROR(K174/J174,0)</f>
        <v>0</v>
      </c>
      <c r="L176" s="353"/>
      <c r="M176" s="355"/>
      <c r="N176" s="305"/>
      <c r="O176" s="333"/>
      <c r="P176" s="1370">
        <f t="shared" ref="P176" si="102">IFERROR(P174/O174,0)</f>
        <v>78.046595174262734</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304.99297103232948</v>
      </c>
      <c r="E177" s="191">
        <f>+INDEX('Budget original'!$A$2:$AO$500,MATCH($A177,'Budget original'!$A$2:$A$500,0),MATCH(E$2,'Budget original'!$A$2:$AO$2,0))</f>
        <v>65691.447380965838</v>
      </c>
      <c r="F177" s="191">
        <f>+INDEX('Budget original'!$A$2:$AO$500,MATCH($A177,'Budget original'!$A$2:$A$500,0),MATCH(F$2,'Budget original'!$A$2:$AO$2,0))</f>
        <v>48463.344195020807</v>
      </c>
      <c r="G177" s="319">
        <f>+INDEX('Budget révisé'!$A$2:$AO$500,MATCH($A177,'Budget révisé'!$A$2:$A$500,0),MATCH(G$2,'Budget révisé'!$A$2:$AO$2,0))</f>
        <v>304.99297103232948</v>
      </c>
      <c r="H177" s="191">
        <f>+INDEX('Budget révisé'!$A$2:$AO$500,MATCH($A177,'Budget révisé'!$A$2:$A$500,0),MATCH(H$2,'Budget révisé'!$A$2:$AO$2,0))</f>
        <v>65691.447380965838</v>
      </c>
      <c r="I177" s="191">
        <f>+INDEX('Budget révisé'!$A$2:$AO$500,MATCH($A177,'Budget révisé'!$A$2:$A$500,0),MATCH(I$2,'Budget révisé'!$A$2:$AO$2,0))</f>
        <v>48463.344195020807</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-48463.344195020807</v>
      </c>
      <c r="O177" s="319">
        <f>-SUMIFS(BV_Data_An_Prec!$O:$O,BV_Data_An_Prec!$U:$U,$B177,BV_Data_An_Prec!$V:$V,$C177,BV_Data_An_Prec!$W:$W,O$2)</f>
        <v>242</v>
      </c>
      <c r="P177" s="180">
        <f>-SUMIFS(BV_Data_An_Prec!$O:$O,BV_Data_An_Prec!$X:$X,"Oui",BV_Data_An_Prec!$U:$U,$B177,BV_Data_An_Prec!$V:$V,$C177)</f>
        <v>57306.14</v>
      </c>
      <c r="Q177" s="174">
        <f>-SUMIFS(BV_Data_An_Prec!$O:$O,BV_Data_An_Prec!$U:$U,$B177,BV_Data_An_Prec!$V:$V,$C177,BV_Data_An_Prec!$W:$W,$L$2)</f>
        <v>43741.43</v>
      </c>
      <c r="R177" s="318">
        <f>IF(O177=0,0,J177/O177)</f>
        <v>0</v>
      </c>
      <c r="S177" s="193">
        <f>L177-Q177</f>
        <v>-43741.43</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0.76329395070057071</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0">
        <f t="shared" ref="E179" si="104">IFERROR(E177/D177,0)</f>
        <v>215.38675845091032</v>
      </c>
      <c r="F179" s="353"/>
      <c r="G179" s="333"/>
      <c r="H179" s="1370">
        <f t="shared" ref="H179" si="105">IFERROR(H177/G177,0)</f>
        <v>215.38675845091032</v>
      </c>
      <c r="I179" s="353"/>
      <c r="J179" s="333"/>
      <c r="K179" s="1370">
        <f t="shared" ref="K179" si="106">IFERROR(K177/J177,0)</f>
        <v>0</v>
      </c>
      <c r="L179" s="353"/>
      <c r="M179" s="355"/>
      <c r="N179" s="305"/>
      <c r="O179" s="333"/>
      <c r="P179" s="1370">
        <f t="shared" ref="P179" si="107">IFERROR(P177/O177,0)</f>
        <v>236.80223140495866</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1343.1344107447528</v>
      </c>
      <c r="F180" s="191">
        <f>+INDEX('Budget original'!$A$2:$AO$500,MATCH($A180,'Budget original'!$A$2:$A$500,0),MATCH(F$2,'Budget original'!$A$2:$AO$2,0))</f>
        <v>507.90703471173754</v>
      </c>
      <c r="G180" s="348">
        <f>+INDEX('Budget révisé'!$A$2:$AO$500,MATCH($A180,'Budget révisé'!$A$2:$A$500,0),MATCH(G$2,'Budget révisé'!$A$2:$AO$2,0))</f>
        <v>0</v>
      </c>
      <c r="H180" s="191">
        <f>+INDEX('Budget révisé'!$A$2:$AO$500,MATCH($A180,'Budget révisé'!$A$2:$A$500,0),MATCH(H$2,'Budget révisé'!$A$2:$AO$2,0))</f>
        <v>1343.1344107447528</v>
      </c>
      <c r="I180" s="191">
        <f>+INDEX('Budget révisé'!$A$2:$AO$500,MATCH($A180,'Budget révisé'!$A$2:$A$500,0),MATCH(I$2,'Budget révisé'!$A$2:$AO$2,0))</f>
        <v>507.90703471173754</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-507.90703471173754</v>
      </c>
      <c r="O180" s="348">
        <f>-SUMIFS(BV_Data_An_Prec!$O:$O,BV_Data_An_Prec!$U:$U,$B180,BV_Data_An_Prec!$V:$V,$C180,BV_Data_An_Prec!$W:$W,O$2)</f>
        <v>0</v>
      </c>
      <c r="P180" s="180">
        <f>-SUMIFS(BV_Data_An_Prec!$O:$O,BV_Data_An_Prec!$X:$X,"Oui",BV_Data_An_Prec!$U:$U,$B180,BV_Data_An_Prec!$V:$V,$C180)</f>
        <v>310.45999999999998</v>
      </c>
      <c r="Q180" s="175">
        <f>-SUMIFS(BV_Data_An_Prec!$O:$O,BV_Data_An_Prec!$U:$U,$B180,BV_Data_An_Prec!$V:$V,$C180,BV_Data_An_Prec!$W:$W,$L$2)</f>
        <v>282.5</v>
      </c>
      <c r="R180" s="318">
        <f>IF(O180=0,0,J180/O180)</f>
        <v>0</v>
      </c>
      <c r="S180" s="195">
        <f>L180-Q180</f>
        <v>-282.5</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0.9099400889003415</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-5922.1118032977665</v>
      </c>
      <c r="G183" s="297"/>
      <c r="H183" s="191"/>
      <c r="I183" s="191">
        <f>+INDEX('Budget révisé'!$A$2:$AO$500,MATCH($A183,'Budget révisé'!$A$2:$A$500,0),MATCH(I$2,'Budget révisé'!$A$2:$AO$2,0))</f>
        <v>-5922.1118032977665</v>
      </c>
      <c r="J183" s="319"/>
      <c r="K183" s="191"/>
      <c r="L183" s="191">
        <f>-SUMIFS(BV_Data_An_Cour!$P:$P,BV_Data_An_Cour!$V:$V,$B183,BV_Data_An_Cour!$W:$W,$C183,BV_Data_An_Cour!$X:$X,$L$2)</f>
        <v>0</v>
      </c>
      <c r="M183" s="365"/>
      <c r="N183" s="298">
        <f t="shared" ref="N183:N184" si="108">L183-I183</f>
        <v>5922.1118032977665</v>
      </c>
      <c r="O183" s="319"/>
      <c r="P183" s="191"/>
      <c r="Q183" s="174">
        <f>-SUMIFS(BV_Data_An_Prec!$O:$O,BV_Data_An_Prec!$U:$U,$B183,BV_Data_An_Prec!$V:$V,$C183,BV_Data_An_Prec!$W:$W,$L$2)</f>
        <v>-5555.88</v>
      </c>
      <c r="R183" s="203"/>
      <c r="S183" s="193">
        <f t="shared" ref="S183:S184" si="109">L183-Q183</f>
        <v>5555.88</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1670.8634071189394</v>
      </c>
      <c r="E184" s="58">
        <f t="shared" ref="E184:G184" si="111">E171+E174+E177+E180+E183</f>
        <v>391115.70806573797</v>
      </c>
      <c r="F184" s="59">
        <f t="shared" si="111"/>
        <v>283726.08437871281</v>
      </c>
      <c r="G184" s="60">
        <f t="shared" si="111"/>
        <v>1670.8634071189394</v>
      </c>
      <c r="H184" s="58">
        <f t="shared" ref="H184:I184" si="112">H171+H174+H177+H180+H183</f>
        <v>391115.70806573797</v>
      </c>
      <c r="I184" s="59">
        <f t="shared" si="112"/>
        <v>283726.08437871281</v>
      </c>
      <c r="J184" s="60">
        <f t="shared" ref="J184:L184" si="113">J171+J174+J177+J180+J183</f>
        <v>0</v>
      </c>
      <c r="K184" s="58">
        <f t="shared" si="113"/>
        <v>0</v>
      </c>
      <c r="L184" s="59">
        <f t="shared" si="113"/>
        <v>0</v>
      </c>
      <c r="M184" s="61">
        <f>(K184-H184)/H184</f>
        <v>-1</v>
      </c>
      <c r="N184" s="59">
        <f t="shared" si="108"/>
        <v>-283726.08437871281</v>
      </c>
      <c r="O184" s="60">
        <f t="shared" ref="O184:Q184" si="114">O171+O174+O177+O180+O183</f>
        <v>1708</v>
      </c>
      <c r="P184" s="58">
        <f t="shared" si="114"/>
        <v>334412.86000000004</v>
      </c>
      <c r="Q184" s="59">
        <f t="shared" si="114"/>
        <v>253689.08</v>
      </c>
      <c r="R184" s="375">
        <f>IF(O184=0,0,J184/O184)</f>
        <v>0</v>
      </c>
      <c r="S184" s="376">
        <f t="shared" si="109"/>
        <v>-253689.08</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1">
        <f>IF(D184=0,0,E184/D184)</f>
        <v>234.08000103379882</v>
      </c>
      <c r="F185" s="63">
        <f>F184/E184</f>
        <v>0.72542748482764763</v>
      </c>
      <c r="G185" s="64"/>
      <c r="H185" s="1371">
        <f>IF(G184=0,0,H184/G184)</f>
        <v>234.08000103379882</v>
      </c>
      <c r="I185" s="326">
        <f>I184/H184</f>
        <v>0.72542748482764763</v>
      </c>
      <c r="J185" s="64"/>
      <c r="K185" s="1371">
        <f>IF(J184=0,0,K184/J184)</f>
        <v>0</v>
      </c>
      <c r="L185" s="326">
        <f>IF(L184=0,0,L184/K184)</f>
        <v>0</v>
      </c>
      <c r="M185" s="64"/>
      <c r="N185" s="63">
        <f>N184/I184</f>
        <v>-1</v>
      </c>
      <c r="O185" s="64"/>
      <c r="P185" s="1371">
        <f>IF(O184=0,0,P184/O184)</f>
        <v>195.79207259953165</v>
      </c>
      <c r="Q185" s="326">
        <f>IF(Q184=0,0,Q184/P184)</f>
        <v>0.75861041946772012</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107389.62368702516</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18225.059081138334</v>
      </c>
      <c r="F187" s="222">
        <f>+INDEX('Budget original'!$A$2:$AO$500,MATCH($A187,'Budget original'!$A$2:$A$500,0),MATCH(F$2,'Budget original'!$A$2:$AO$2,0))</f>
        <v>3993.5787195947228</v>
      </c>
      <c r="G187" s="224"/>
      <c r="H187" s="222">
        <f>+INDEX('Budget révisé'!$A$2:$AO$500,MATCH($A187,'Budget révisé'!$A$2:$A$500,0),MATCH(H$2,'Budget révisé'!$A$2:$AO$2,0))</f>
        <v>18225.059081138334</v>
      </c>
      <c r="I187" s="222">
        <f>+INDEX('Budget révisé'!$A$2:$AO$500,MATCH($A187,'Budget révisé'!$A$2:$A$500,0),MATCH(I$2,'Budget révisé'!$A$2:$AO$2,0))</f>
        <v>3993.5787195947228</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-3993.5787195947228</v>
      </c>
      <c r="O187" s="224"/>
      <c r="P187" s="225">
        <f>-SUMIFS(BV_Data_An_Prec!$O:$O,BV_Data_An_Prec!$X:$X,"Oui",BV_Data_An_Prec!$U:$U,$B187,BV_Data_An_Prec!$V:$V,$C187)</f>
        <v>21695.99</v>
      </c>
      <c r="Q187" s="275">
        <f>-SUMIFS(BV_Data_An_Prec!$O:$O,BV_Data_An_Prec!$U:$U,$B187,BV_Data_An_Prec!$V:$V,$C187,BV_Data_An_Prec!$W:$W,$L$2)</f>
        <v>5448.4900000000016</v>
      </c>
      <c r="R187" s="380">
        <f>IF(O187=0,0,J187/O187)</f>
        <v>0</v>
      </c>
      <c r="S187" s="278">
        <f>L187-Q187</f>
        <v>-5448.4900000000016</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0.25112889524746285</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409340.76714687631</v>
      </c>
      <c r="F193" s="28">
        <f t="shared" si="115"/>
        <v>287719.66309830756</v>
      </c>
      <c r="G193" s="29"/>
      <c r="H193" s="26">
        <f t="shared" ref="H193:I193" si="116">H184+H187+H190</f>
        <v>409340.76714687631</v>
      </c>
      <c r="I193" s="28">
        <f t="shared" si="116"/>
        <v>287719.66309830756</v>
      </c>
      <c r="J193" s="29"/>
      <c r="K193" s="26">
        <f>K184+K187+K190</f>
        <v>0</v>
      </c>
      <c r="L193" s="28">
        <f t="shared" ref="L193" si="117">L184+L187+L190</f>
        <v>0</v>
      </c>
      <c r="M193" s="70" t="e">
        <f>L194-I194</f>
        <v>#DIV/0!</v>
      </c>
      <c r="N193" s="28">
        <f>L193-I193</f>
        <v>-287719.66309830756</v>
      </c>
      <c r="O193" s="29"/>
      <c r="P193" s="26">
        <f>P184+P187+P190</f>
        <v>356108.85000000003</v>
      </c>
      <c r="Q193" s="28">
        <f t="shared" ref="Q193" si="118">Q184+Q187+Q190</f>
        <v>259137.56999999998</v>
      </c>
      <c r="R193" s="70" t="e">
        <f>L194-Q194</f>
        <v>#DIV/0!</v>
      </c>
      <c r="S193" s="357">
        <f>L193-Q193</f>
        <v>-259137.56999999998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0.70288543480222276</v>
      </c>
      <c r="G194" s="31"/>
      <c r="H194" s="359"/>
      <c r="I194" s="34">
        <f>I193/H193</f>
        <v>0.70288543480222276</v>
      </c>
      <c r="J194" s="31"/>
      <c r="K194" s="359"/>
      <c r="L194" s="34" t="e">
        <f>L193/K193</f>
        <v>#DIV/0!</v>
      </c>
      <c r="M194" s="33"/>
      <c r="N194" s="34">
        <f>N193/I193</f>
        <v>-1</v>
      </c>
      <c r="O194" s="31"/>
      <c r="P194" s="359"/>
      <c r="Q194" s="34">
        <f>Q193/P193</f>
        <v>0.72769202450318193</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SUMIFS(BV_Data_An_Cour!$P:$P,BV_Data_An_Cour!$V:$V,$B197,BV_Data_An_Cour!$W:$W,$C197,BV_Data_An_Cour!$X:$X,$L$2)</f>
        <v>0</v>
      </c>
      <c r="M197" s="297"/>
      <c r="N197" s="298">
        <f t="shared" ref="N197:N208" si="119">L197-I197</f>
        <v>-11574.768390804598</v>
      </c>
      <c r="O197" s="297"/>
      <c r="P197" s="172"/>
      <c r="Q197" s="174">
        <f>SUMIFS(BV_Data_An_Prec!$O:$O,BV_Data_An_Prec!$U:$U,$B197,BV_Data_An_Prec!$V:$V,$C197,BV_Data_An_Prec!$W:$W,$L$2)</f>
        <v>12022.88</v>
      </c>
      <c r="R197" s="297"/>
      <c r="S197" s="393">
        <f>L197-Q197</f>
        <v>-12022.88</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0</v>
      </c>
      <c r="M198" s="297"/>
      <c r="N198" s="298">
        <f t="shared" si="119"/>
        <v>-9816.5681076743313</v>
      </c>
      <c r="O198" s="297"/>
      <c r="P198" s="172"/>
      <c r="Q198" s="174">
        <f>SUMIFS(BV_Data_An_Prec!$O:$O,BV_Data_An_Prec!$U:$U,$B198,BV_Data_An_Prec!$V:$V,$C198,BV_Data_An_Prec!$W:$W,$L$2)</f>
        <v>9011.14</v>
      </c>
      <c r="R198" s="297"/>
      <c r="S198" s="193">
        <f t="shared" ref="S198:S227" si="120">L198-Q198</f>
        <v>-9011.14</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0</v>
      </c>
      <c r="M199" s="362"/>
      <c r="N199" s="350">
        <f t="shared" si="119"/>
        <v>-14779.948499279693</v>
      </c>
      <c r="O199" s="362"/>
      <c r="P199" s="346"/>
      <c r="Q199" s="175">
        <f>SUMIFS(BV_Data_An_Prec!$O:$O,BV_Data_An_Prec!$U:$U,$B199,BV_Data_An_Prec!$V:$V,$C199,BV_Data_An_Prec!$W:$W,$L$2)</f>
        <v>16821.87</v>
      </c>
      <c r="R199" s="362"/>
      <c r="S199" s="195">
        <f t="shared" si="120"/>
        <v>-16821.87</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43303.8097553033</v>
      </c>
      <c r="G200" s="296"/>
      <c r="H200" s="172"/>
      <c r="I200" s="173">
        <f>+INDEX('Budget révisé'!$A$2:$AO$500,MATCH($A200,'Budget révisé'!$A$2:$A$500,0),MATCH(I$2,'Budget révisé'!$A$2:$AO$2,0))</f>
        <v>43303.8097553033</v>
      </c>
      <c r="J200" s="297"/>
      <c r="K200" s="172"/>
      <c r="L200" s="174">
        <f>SUMIFS(BV_Data_An_Cour!$P:$P,BV_Data_An_Cour!$V:$V,$B200,BV_Data_An_Cour!$W:$W,$C200,BV_Data_An_Cour!$X:$X,$L$2)</f>
        <v>0</v>
      </c>
      <c r="M200" s="297"/>
      <c r="N200" s="298">
        <f t="shared" si="119"/>
        <v>-43303.8097553033</v>
      </c>
      <c r="O200" s="297"/>
      <c r="P200" s="172"/>
      <c r="Q200" s="174">
        <f>SUMIFS(BV_Data_An_Prec!$O:$O,BV_Data_An_Prec!$U:$U,$B200,BV_Data_An_Prec!$V:$V,$C200,BV_Data_An_Prec!$W:$W,$L$2)</f>
        <v>28825.360000000001</v>
      </c>
      <c r="R200" s="297"/>
      <c r="S200" s="193">
        <f t="shared" si="120"/>
        <v>-28825.360000000001</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17985.243290374252</v>
      </c>
      <c r="G204" s="296"/>
      <c r="H204" s="172"/>
      <c r="I204" s="173">
        <f>+INDEX('Budget révisé'!$A$2:$AO$500,MATCH($A204,'Budget révisé'!$A$2:$A$500,0),MATCH(I$2,'Budget révisé'!$A$2:$AO$2,0))</f>
        <v>17985.243290374252</v>
      </c>
      <c r="J204" s="297"/>
      <c r="K204" s="172"/>
      <c r="L204" s="174">
        <f>SUMIFS(BV_Data_An_Cour!$P:$P,BV_Data_An_Cour!$V:$V,$B204,BV_Data_An_Cour!$W:$W,$C204,BV_Data_An_Cour!$X:$X,$L$2)</f>
        <v>0</v>
      </c>
      <c r="M204" s="297"/>
      <c r="N204" s="298">
        <f t="shared" si="121"/>
        <v>-17985.243290374252</v>
      </c>
      <c r="O204" s="297"/>
      <c r="P204" s="172"/>
      <c r="Q204" s="174">
        <f>SUMIFS(BV_Data_An_Prec!$O:$O,BV_Data_An_Prec!$U:$U,$B204,BV_Data_An_Prec!$V:$V,$C204,BV_Data_An_Prec!$W:$W,$L$2)</f>
        <v>17681.939999999999</v>
      </c>
      <c r="R204" s="297"/>
      <c r="S204" s="193">
        <f t="shared" si="122"/>
        <v>-17681.939999999999</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16107.628957008317</v>
      </c>
      <c r="G205" s="387"/>
      <c r="H205" s="346"/>
      <c r="I205" s="423">
        <f>+INDEX('Budget révisé'!$A$2:$AO$500,MATCH($A205,'Budget révisé'!$A$2:$A$500,0),MATCH(I$2,'Budget révisé'!$A$2:$AO$2,0))</f>
        <v>16107.628957008317</v>
      </c>
      <c r="J205" s="362"/>
      <c r="K205" s="346"/>
      <c r="L205" s="239">
        <f>SUMIFS(BV_Data_An_Cour!$P:$P,BV_Data_An_Cour!$V:$V,$B205,BV_Data_An_Cour!$W:$W,$C205,BV_Data_An_Cour!$X:$X,$L$2)</f>
        <v>0</v>
      </c>
      <c r="M205" s="362"/>
      <c r="N205" s="350">
        <f t="shared" si="119"/>
        <v>-16107.628957008317</v>
      </c>
      <c r="O205" s="362"/>
      <c r="P205" s="346"/>
      <c r="Q205" s="175">
        <f>SUMIFS(BV_Data_An_Prec!$O:$O,BV_Data_An_Prec!$U:$U,$B205,BV_Data_An_Prec!$V:$V,$C205,BV_Data_An_Prec!$W:$W,$L$2)</f>
        <v>14820.27</v>
      </c>
      <c r="R205" s="362"/>
      <c r="S205" s="195">
        <f t="shared" si="120"/>
        <v>-14820.27</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12791.352407036018</v>
      </c>
      <c r="G206" s="296"/>
      <c r="H206" s="172"/>
      <c r="I206" s="173">
        <f>+INDEX('Budget révisé'!$A$2:$AO$500,MATCH($A206,'Budget révisé'!$A$2:$A$500,0),MATCH(I$2,'Budget révisé'!$A$2:$AO$2,0))</f>
        <v>12791.352407036018</v>
      </c>
      <c r="J206" s="297"/>
      <c r="K206" s="172"/>
      <c r="L206" s="174">
        <f>SUMIFS(BV_Data_An_Cour!$P:$P,BV_Data_An_Cour!$V:$V,$B206,BV_Data_An_Cour!$W:$W,$C206,BV_Data_An_Cour!$X:$X,$L$2)</f>
        <v>0</v>
      </c>
      <c r="M206" s="297"/>
      <c r="N206" s="298">
        <f t="shared" si="119"/>
        <v>-12791.352407036018</v>
      </c>
      <c r="O206" s="297"/>
      <c r="P206" s="172"/>
      <c r="Q206" s="174">
        <f>SUMIFS(BV_Data_An_Prec!$O:$O,BV_Data_An_Prec!$U:$U,$B206,BV_Data_An_Prec!$V:$V,$C206,BV_Data_An_Prec!$W:$W,$L$2)</f>
        <v>10621.189999999999</v>
      </c>
      <c r="R206" s="297"/>
      <c r="S206" s="193">
        <f t="shared" si="120"/>
        <v>-10621.189999999999</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5211.2917213850442</v>
      </c>
      <c r="G207" s="296"/>
      <c r="H207" s="172"/>
      <c r="I207" s="173">
        <f>+INDEX('Budget révisé'!$A$2:$AO$500,MATCH($A207,'Budget révisé'!$A$2:$A$500,0),MATCH(I$2,'Budget révisé'!$A$2:$AO$2,0))</f>
        <v>5211.2917213850442</v>
      </c>
      <c r="J207" s="297"/>
      <c r="K207" s="172"/>
      <c r="L207" s="174">
        <f>SUMIFS(BV_Data_An_Cour!$P:$P,BV_Data_An_Cour!$V:$V,$B207,BV_Data_An_Cour!$W:$W,$C207,BV_Data_An_Cour!$X:$X,$L$2)</f>
        <v>0</v>
      </c>
      <c r="M207" s="297"/>
      <c r="N207" s="298">
        <f t="shared" si="119"/>
        <v>-5211.2917213850442</v>
      </c>
      <c r="O207" s="297"/>
      <c r="P207" s="172"/>
      <c r="Q207" s="174">
        <f>SUMIFS(BV_Data_An_Prec!$O:$O,BV_Data_An_Prec!$U:$U,$B207,BV_Data_An_Prec!$V:$V,$C207,BV_Data_An_Prec!$W:$W,$L$2)</f>
        <v>2470.04</v>
      </c>
      <c r="R207" s="297"/>
      <c r="S207" s="193">
        <f t="shared" si="120"/>
        <v>-2470.04</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0.45728751977549315</v>
      </c>
      <c r="F209" s="41">
        <f>+SUM(F197:F208)</f>
        <v>131570.61112886554</v>
      </c>
      <c r="G209" s="42" t="s">
        <v>170</v>
      </c>
      <c r="H209" s="40">
        <f>I209/I$193</f>
        <v>0.45728751977549315</v>
      </c>
      <c r="I209" s="41">
        <f>+SUM(I197:I208)</f>
        <v>131570.61112886554</v>
      </c>
      <c r="J209" s="42" t="s">
        <v>170</v>
      </c>
      <c r="K209" s="40" t="e">
        <f>L209/L$193</f>
        <v>#DIV/0!</v>
      </c>
      <c r="L209" s="41">
        <f>+SUM(L197:L208)</f>
        <v>0</v>
      </c>
      <c r="M209" s="43"/>
      <c r="N209" s="46">
        <f t="shared" ref="N209:N227" si="123">L209-I209</f>
        <v>-131570.61112886554</v>
      </c>
      <c r="O209" s="42" t="s">
        <v>170</v>
      </c>
      <c r="P209" s="40">
        <f>Q209/Q$193</f>
        <v>0.43326288040749944</v>
      </c>
      <c r="Q209" s="41">
        <f>+SUM(Q197:Q208)</f>
        <v>112274.69</v>
      </c>
      <c r="R209" s="43"/>
      <c r="S209" s="293">
        <f t="shared" si="120"/>
        <v>-112274.69</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12547.11</v>
      </c>
      <c r="R210" s="297"/>
      <c r="S210" s="193">
        <f t="shared" si="120"/>
        <v>-12547.11</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6630.5459162144743</v>
      </c>
      <c r="G211" s="296"/>
      <c r="H211" s="172"/>
      <c r="I211" s="173">
        <f>+INDEX('Budget révisé'!$A$2:$AO$500,MATCH($A211,'Budget révisé'!$A$2:$A$500,0),MATCH(I$2,'Budget révisé'!$A$2:$AO$2,0))</f>
        <v>6630.5459162144743</v>
      </c>
      <c r="J211" s="297"/>
      <c r="K211" s="172"/>
      <c r="L211" s="956">
        <f>SUMIFS(BV_Data_An_Cour!$P:$P,BV_Data_An_Cour!$V:$V,$B211,BV_Data_An_Cour!$W:$W,$C211,BV_Data_An_Cour!$X:$X,$L$2)</f>
        <v>0</v>
      </c>
      <c r="M211" s="297"/>
      <c r="N211" s="298">
        <f t="shared" si="123"/>
        <v>-6630.5459162144743</v>
      </c>
      <c r="O211" s="297"/>
      <c r="P211" s="172"/>
      <c r="Q211" s="174">
        <f>SUMIFS(BV_Data_An_Prec!$O:$O,BV_Data_An_Prec!$U:$U,$B211,BV_Data_An_Prec!$V:$V,$C211,BV_Data_An_Prec!$W:$W,$L$2)</f>
        <v>2975.45</v>
      </c>
      <c r="R211" s="297"/>
      <c r="S211" s="193">
        <f t="shared" si="120"/>
        <v>-2975.45</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15742.274444444443</v>
      </c>
      <c r="G212" s="303"/>
      <c r="H212" s="302"/>
      <c r="I212" s="171">
        <f>+INDEX('Budget révisé'!$A$2:$AO$500,MATCH($A212,'Budget révisé'!$A$2:$A$500,0),MATCH(I$2,'Budget révisé'!$A$2:$AO$2,0))</f>
        <v>15742.274444444443</v>
      </c>
      <c r="J212" s="304"/>
      <c r="K212" s="302"/>
      <c r="L212" s="174">
        <f>SUMIFS(BV_Data_An_Cour!$P:$P,BV_Data_An_Cour!$V:$V,$B212,BV_Data_An_Cour!$W:$W,$C212,BV_Data_An_Cour!$X:$X,$L$2)</f>
        <v>0</v>
      </c>
      <c r="M212" s="304"/>
      <c r="N212" s="305">
        <f t="shared" si="123"/>
        <v>-15742.274444444443</v>
      </c>
      <c r="O212" s="304"/>
      <c r="P212" s="302"/>
      <c r="Q212" s="174">
        <f>SUMIFS(BV_Data_An_Prec!$O:$O,BV_Data_An_Prec!$U:$U,$B212,BV_Data_An_Prec!$V:$V,$C212,BV_Data_An_Prec!$W:$W,$L$2)</f>
        <v>13657.87</v>
      </c>
      <c r="R212" s="304"/>
      <c r="S212" s="196">
        <f t="shared" si="120"/>
        <v>-13657.87</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3538.9</v>
      </c>
      <c r="R213" s="297"/>
      <c r="S213" s="193">
        <f t="shared" si="120"/>
        <v>-3538.9</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789.65</v>
      </c>
      <c r="R214" s="297"/>
      <c r="S214" s="193">
        <f t="shared" si="120"/>
        <v>-789.65</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8526.1301333333322</v>
      </c>
      <c r="G215" s="303"/>
      <c r="H215" s="302"/>
      <c r="I215" s="171">
        <f>+INDEX('Budget révisé'!$A$2:$AO$500,MATCH($A215,'Budget révisé'!$A$2:$A$500,0),MATCH(I$2,'Budget révisé'!$A$2:$AO$2,0))</f>
        <v>8526.1301333333322</v>
      </c>
      <c r="J215" s="304"/>
      <c r="K215" s="302"/>
      <c r="L215" s="174">
        <f>SUMIFS(BV_Data_An_Cour!$P:$P,BV_Data_An_Cour!$V:$V,$B215,BV_Data_An_Cour!$W:$W,$C215,BV_Data_An_Cour!$X:$X,$L$2)</f>
        <v>0</v>
      </c>
      <c r="M215" s="304"/>
      <c r="N215" s="305">
        <f t="shared" si="123"/>
        <v>-8526.1301333333322</v>
      </c>
      <c r="O215" s="304"/>
      <c r="P215" s="302"/>
      <c r="Q215" s="174">
        <f>SUMIFS(BV_Data_An_Prec!$O:$O,BV_Data_An_Prec!$U:$U,$B215,BV_Data_An_Prec!$V:$V,$C215,BV_Data_An_Prec!$W:$W,$L$2)</f>
        <v>4111.24</v>
      </c>
      <c r="R215" s="304"/>
      <c r="S215" s="196">
        <f t="shared" si="120"/>
        <v>-4111.24</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1062.8818976137629</v>
      </c>
      <c r="G217" s="296"/>
      <c r="H217" s="172"/>
      <c r="I217" s="173">
        <f>+INDEX('Budget révisé'!$A$2:$AO$500,MATCH($A217,'Budget révisé'!$A$2:$A$500,0),MATCH(I$2,'Budget révisé'!$A$2:$AO$2,0))</f>
        <v>1062.8818976137629</v>
      </c>
      <c r="J217" s="297"/>
      <c r="K217" s="172"/>
      <c r="L217" s="275">
        <f>SUMIFS(BV_Data_An_Cour!$P:$P,BV_Data_An_Cour!$V:$V,$B217,BV_Data_An_Cour!$W:$W,$C217,BV_Data_An_Cour!$X:$X,$L$2)</f>
        <v>0</v>
      </c>
      <c r="M217" s="297"/>
      <c r="N217" s="298">
        <f t="shared" si="123"/>
        <v>-1062.8818976137629</v>
      </c>
      <c r="O217" s="297"/>
      <c r="P217" s="172"/>
      <c r="Q217" s="174">
        <f>SUMIFS(BV_Data_An_Prec!$O:$O,BV_Data_An_Prec!$U:$U,$B217,BV_Data_An_Prec!$V:$V,$C217,BV_Data_An_Prec!$W:$W,$L$2)</f>
        <v>-90.89</v>
      </c>
      <c r="R217" s="297"/>
      <c r="S217" s="193">
        <f t="shared" si="120"/>
        <v>90.89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564.78749958446463</v>
      </c>
      <c r="G218" s="296"/>
      <c r="H218" s="172"/>
      <c r="I218" s="173">
        <f>+INDEX('Budget révisé'!$A$2:$AO$500,MATCH($A218,'Budget révisé'!$A$2:$A$500,0),MATCH(I$2,'Budget révisé'!$A$2:$AO$2,0))</f>
        <v>564.78749958446463</v>
      </c>
      <c r="J218" s="297"/>
      <c r="K218" s="172"/>
      <c r="L218" s="174">
        <f>SUMIFS(BV_Data_An_Cour!$P:$P,BV_Data_An_Cour!$V:$V,$B218,BV_Data_An_Cour!$W:$W,$C218,BV_Data_An_Cour!$X:$X,$L$2)</f>
        <v>0</v>
      </c>
      <c r="M218" s="297"/>
      <c r="N218" s="298">
        <f t="shared" si="123"/>
        <v>-564.78749958446463</v>
      </c>
      <c r="O218" s="297"/>
      <c r="P218" s="172"/>
      <c r="Q218" s="174">
        <f>SUMIFS(BV_Data_An_Prec!$O:$O,BV_Data_An_Prec!$U:$U,$B218,BV_Data_An_Prec!$V:$V,$C218,BV_Data_An_Prec!$W:$W,$L$2)</f>
        <v>954.57</v>
      </c>
      <c r="R218" s="297"/>
      <c r="S218" s="193">
        <f t="shared" si="120"/>
        <v>-954.57</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263.37</v>
      </c>
      <c r="R219" s="297"/>
      <c r="S219" s="193">
        <f t="shared" si="120"/>
        <v>-263.37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270.83</v>
      </c>
      <c r="R220" s="297"/>
      <c r="S220" s="193">
        <f t="shared" si="120"/>
        <v>-270.83</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150.86000000000001</v>
      </c>
      <c r="R221" s="297"/>
      <c r="S221" s="193">
        <f t="shared" si="120"/>
        <v>-150.86000000000001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564.09</v>
      </c>
      <c r="R222" s="297"/>
      <c r="S222" s="193">
        <f t="shared" si="120"/>
        <v>-564.09</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2523.88</v>
      </c>
      <c r="R223" s="297"/>
      <c r="S223" s="193">
        <f t="shared" si="120"/>
        <v>-2523.88</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3307.9862055343506</v>
      </c>
      <c r="G224" s="296"/>
      <c r="H224" s="172"/>
      <c r="I224" s="173">
        <f>+INDEX('Budget révisé'!$A$2:$AO$500,MATCH($A224,'Budget révisé'!$A$2:$A$500,0),MATCH(I$2,'Budget révisé'!$A$2:$AO$2,0))</f>
        <v>3307.9862055343506</v>
      </c>
      <c r="J224" s="297"/>
      <c r="K224" s="172"/>
      <c r="L224" s="275">
        <f>AF447*W5</f>
        <v>0</v>
      </c>
      <c r="M224" s="297"/>
      <c r="N224" s="298">
        <f t="shared" si="123"/>
        <v>-3307.9862055343506</v>
      </c>
      <c r="O224" s="297"/>
      <c r="P224" s="172"/>
      <c r="Q224" s="275">
        <f>AL447*W5</f>
        <v>2572.6342500000001</v>
      </c>
      <c r="R224" s="297"/>
      <c r="S224" s="193">
        <f t="shared" si="120"/>
        <v>-2572.6342500000001</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0.17934042479430509</v>
      </c>
      <c r="F228" s="41">
        <f>+SUM(F210:F227)</f>
        <v>51599.766601724827</v>
      </c>
      <c r="G228" s="42" t="s">
        <v>170</v>
      </c>
      <c r="H228" s="40">
        <f>I228/I$193</f>
        <v>0.17934042479430509</v>
      </c>
      <c r="I228" s="41">
        <f>+SUM(I210:I227)</f>
        <v>51599.766601724827</v>
      </c>
      <c r="J228" s="42" t="s">
        <v>170</v>
      </c>
      <c r="K228" s="40" t="e">
        <f>L228/L$193</f>
        <v>#DIV/0!</v>
      </c>
      <c r="L228" s="41">
        <f>+SUM(L210:L227)</f>
        <v>0</v>
      </c>
      <c r="M228" s="44"/>
      <c r="N228" s="41">
        <f t="shared" ref="N228" si="128">L228-I228</f>
        <v>-51599.766601724827</v>
      </c>
      <c r="O228" s="42" t="s">
        <v>170</v>
      </c>
      <c r="P228" s="40">
        <f>Q228/Q$193</f>
        <v>0.17299523280240686</v>
      </c>
      <c r="Q228" s="41">
        <f>+SUM(Q210:Q227)</f>
        <v>44829.564250000003</v>
      </c>
      <c r="R228" s="44"/>
      <c r="S228" s="310">
        <f t="shared" ref="S228" si="129">L228-Q228</f>
        <v>-44829.564250000003</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0.63662794456979821</v>
      </c>
      <c r="F230" s="41">
        <f>F209+F228</f>
        <v>183170.37773059035</v>
      </c>
      <c r="G230" s="42" t="s">
        <v>111</v>
      </c>
      <c r="H230" s="40">
        <f>I230/I$193</f>
        <v>0.63662794456979821</v>
      </c>
      <c r="I230" s="41">
        <f>I209+I228</f>
        <v>183170.37773059035</v>
      </c>
      <c r="J230" s="42" t="s">
        <v>111</v>
      </c>
      <c r="K230" s="40" t="e">
        <f>L230/L$193</f>
        <v>#DIV/0!</v>
      </c>
      <c r="L230" s="41">
        <f>L209+L228</f>
        <v>0</v>
      </c>
      <c r="M230" s="44"/>
      <c r="N230" s="46">
        <f t="shared" ref="N230:N231" si="130">L230-I230</f>
        <v>-183170.37773059035</v>
      </c>
      <c r="O230" s="42" t="s">
        <v>111</v>
      </c>
      <c r="P230" s="40">
        <f>Q230/Q$193</f>
        <v>0.6062581132099063</v>
      </c>
      <c r="Q230" s="41">
        <f>Q209+Q228</f>
        <v>157104.25425</v>
      </c>
      <c r="R230" s="44"/>
      <c r="S230" s="293">
        <f>L230-Q230</f>
        <v>-157104.25425</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104549.28536771721</v>
      </c>
      <c r="G232" s="338"/>
      <c r="H232" s="336"/>
      <c r="I232" s="337">
        <f>I193-I230</f>
        <v>104549.28536771721</v>
      </c>
      <c r="J232" s="339"/>
      <c r="K232" s="340"/>
      <c r="L232" s="337">
        <f>L193-L230</f>
        <v>0</v>
      </c>
      <c r="M232" s="339"/>
      <c r="N232" s="337">
        <f>L232-I232</f>
        <v>-104549.28536771721</v>
      </c>
      <c r="O232" s="339"/>
      <c r="P232" s="340"/>
      <c r="Q232" s="337">
        <f>Q193-Q230</f>
        <v>102033.31574999998</v>
      </c>
      <c r="R232" s="339"/>
      <c r="S232" s="341">
        <f>L232-Q232</f>
        <v>-102033.31574999998</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Novembre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94160.260111856085</v>
      </c>
      <c r="F240" s="191">
        <f>+INDEX('Budget original'!$A$2:$AO$500,MATCH($A240,'Budget original'!$A$2:$A$500,0),MATCH(F$2,'Budget original'!$A$2:$AO$2,0))</f>
        <v>20828.338726225145</v>
      </c>
      <c r="G240" s="342">
        <f>+INDEX('Budget révisé'!$A$2:$AO$500,MATCH($A240,'Budget révisé'!$A$2:$A$500,0),MATCH(G$2,'Budget révisé'!$A$2:$AO$2,0))</f>
        <v>0</v>
      </c>
      <c r="H240" s="191">
        <f>+INDEX('Budget révisé'!$A$2:$AO$500,MATCH($A240,'Budget révisé'!$A$2:$A$500,0),MATCH(H$2,'Budget révisé'!$A$2:$AO$2,0))</f>
        <v>94160.260111856085</v>
      </c>
      <c r="I240" s="191">
        <f>+INDEX('Budget révisé'!$A$2:$AO$500,MATCH($A240,'Budget révisé'!$A$2:$A$500,0),MATCH(I$2,'Budget révisé'!$A$2:$AO$2,0))</f>
        <v>20828.338726225145</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-20828.338726225145</v>
      </c>
      <c r="O240" s="319">
        <f>-SUMIFS(BV_Data_An_Prec!$O:$O,BV_Data_An_Prec!$U:$U,$B240,BV_Data_An_Prec!$V:$V,$C240,BV_Data_An_Prec!$W:$W,O$2)</f>
        <v>75</v>
      </c>
      <c r="P240" s="173">
        <f>-SUMIFS(BV_Data_An_Prec!$O:$O,BV_Data_An_Prec!$X:$X,"Oui",BV_Data_An_Prec!$U:$U,$B240,BV_Data_An_Prec!$V:$V,$C240)</f>
        <v>98226.489999999991</v>
      </c>
      <c r="Q240" s="174">
        <f>-SUMIFS(BV_Data_An_Prec!$O:$O,BV_Data_An_Prec!$U:$U,$B240,BV_Data_An_Prec!$V:$V,$C240,BV_Data_An_Prec!$W:$W,$L$2)</f>
        <v>23139.069999999996</v>
      </c>
      <c r="R240" s="318">
        <f>IF(O240=0,0,J240/O240)</f>
        <v>0</v>
      </c>
      <c r="S240" s="193">
        <f>L240-Q240</f>
        <v>-23139.069999999996</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0.22120094720939038</v>
      </c>
      <c r="G241" s="297"/>
      <c r="H241" s="343"/>
      <c r="I241" s="344">
        <f>IFERROR(I240/H240,0)</f>
        <v>0.22120094720939038</v>
      </c>
      <c r="J241" s="319"/>
      <c r="K241" s="172"/>
      <c r="L241" s="344">
        <f>IFERROR(L240/K240,0)</f>
        <v>0</v>
      </c>
      <c r="M241" s="318"/>
      <c r="N241" s="298">
        <f>IFERROR(N240/M240,0)</f>
        <v>20828.338726225145</v>
      </c>
      <c r="O241" s="319"/>
      <c r="P241" s="172"/>
      <c r="Q241" s="344">
        <f>IFERROR(Q240/P240,0)</f>
        <v>0.23556853146233769</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94160.260111856085</v>
      </c>
      <c r="F249" s="28">
        <f t="shared" si="131"/>
        <v>20828.338726225145</v>
      </c>
      <c r="G249" s="29"/>
      <c r="H249" s="26">
        <f t="shared" ref="H249:I249" si="132">H243+H246+H240</f>
        <v>94160.260111856085</v>
      </c>
      <c r="I249" s="28">
        <f t="shared" si="132"/>
        <v>20828.338726225145</v>
      </c>
      <c r="J249" s="29"/>
      <c r="K249" s="26">
        <f t="shared" ref="K249:L249" si="133">K243+K246+K240</f>
        <v>0</v>
      </c>
      <c r="L249" s="28">
        <f t="shared" si="133"/>
        <v>0</v>
      </c>
      <c r="M249" s="70">
        <f>L250-I250</f>
        <v>-0.22120094720939038</v>
      </c>
      <c r="N249" s="28">
        <f>L249-I249</f>
        <v>-20828.338726225145</v>
      </c>
      <c r="O249" s="29"/>
      <c r="P249" s="26">
        <f t="shared" ref="P249:Q249" si="134">P243+P246+P240</f>
        <v>98226.489999999991</v>
      </c>
      <c r="Q249" s="28">
        <f t="shared" si="134"/>
        <v>23139.069999999996</v>
      </c>
      <c r="R249" s="1208">
        <f>L250-Q250</f>
        <v>-0.23556853146233769</v>
      </c>
      <c r="S249" s="357">
        <f>L249-Q249</f>
        <v>-23139.069999999996</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0.22120094720939038</v>
      </c>
      <c r="G250" s="31"/>
      <c r="H250" s="359"/>
      <c r="I250" s="34">
        <f>I249/H249</f>
        <v>0.22120094720939038</v>
      </c>
      <c r="J250" s="31"/>
      <c r="K250" s="359"/>
      <c r="L250" s="34">
        <f>IF(K249=0,0,L249/K249)</f>
        <v>0</v>
      </c>
      <c r="M250" s="33"/>
      <c r="N250" s="34">
        <f>N249/I249</f>
        <v>-1</v>
      </c>
      <c r="O250" s="31"/>
      <c r="P250" s="359"/>
      <c r="Q250" s="34">
        <f>IF(P249=0,0,Q249/P249)</f>
        <v>0.23556853146233769</v>
      </c>
      <c r="R250" s="33"/>
      <c r="S250" s="1366">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0</v>
      </c>
      <c r="M253" s="221"/>
      <c r="N253" s="226">
        <f t="shared" ref="N253:N283" si="135">L253-I253</f>
        <v>-325.80440613026821</v>
      </c>
      <c r="O253" s="221"/>
      <c r="P253" s="227"/>
      <c r="Q253" s="275">
        <f>SUMIFS(BV_Data_An_Prec!$O:$O,BV_Data_An_Prec!$U:$U,$B253,BV_Data_An_Prec!$V:$V,$C253,BV_Data_An_Prec!$W:$W,$L$2)</f>
        <v>809.12</v>
      </c>
      <c r="R253" s="221"/>
      <c r="S253" s="506">
        <f>L253-Q253</f>
        <v>-809.12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0</v>
      </c>
      <c r="M254" s="221"/>
      <c r="N254" s="226">
        <f t="shared" si="135"/>
        <v>-545.66820983524906</v>
      </c>
      <c r="O254" s="221"/>
      <c r="P254" s="227"/>
      <c r="Q254" s="275">
        <f>SUMIFS(BV_Data_An_Prec!$O:$O,BV_Data_An_Prec!$U:$U,$B254,BV_Data_An_Prec!$V:$V,$C254,BV_Data_An_Prec!$W:$W,$L$2)</f>
        <v>537.73</v>
      </c>
      <c r="R254" s="221"/>
      <c r="S254" s="278">
        <f>L254-Q254</f>
        <v>-537.73</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0</v>
      </c>
      <c r="M255" s="282"/>
      <c r="N255" s="283">
        <f t="shared" si="135"/>
        <v>-469.91855390038313</v>
      </c>
      <c r="O255" s="282"/>
      <c r="P255" s="280"/>
      <c r="Q255" s="239">
        <f>SUMIFS(BV_Data_An_Prec!$O:$O,BV_Data_An_Prec!$U:$U,$B255,BV_Data_An_Prec!$V:$V,$C255,BV_Data_An_Prec!$W:$W,$L$2)</f>
        <v>4022.37</v>
      </c>
      <c r="R255" s="282"/>
      <c r="S255" s="284">
        <f t="shared" ref="S255:S264" si="136">L255-Q255</f>
        <v>-4022.37</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0</v>
      </c>
      <c r="M256" s="221"/>
      <c r="N256" s="226">
        <f t="shared" si="135"/>
        <v>-4293.1034482758623</v>
      </c>
      <c r="O256" s="221"/>
      <c r="P256" s="227"/>
      <c r="Q256" s="275">
        <f>SUMIFS(BV_Data_An_Prec!$O:$O,BV_Data_An_Prec!$U:$U,$B256,BV_Data_An_Prec!$V:$V,$C256,BV_Data_An_Prec!$W:$W,$L$2)</f>
        <v>2538.4899999999998</v>
      </c>
      <c r="R256" s="221"/>
      <c r="S256" s="278">
        <f t="shared" si="136"/>
        <v>-2538.4899999999998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0</v>
      </c>
      <c r="M260" s="221"/>
      <c r="N260" s="226">
        <f t="shared" si="135"/>
        <v>-685.83684543664049</v>
      </c>
      <c r="O260" s="221"/>
      <c r="P260" s="227"/>
      <c r="Q260" s="275">
        <f>SUMIFS(BV_Data_An_Prec!$O:$O,BV_Data_An_Prec!$U:$U,$B260,BV_Data_An_Prec!$V:$V,$C260,BV_Data_An_Prec!$W:$W,$L$2)</f>
        <v>287.43</v>
      </c>
      <c r="R260" s="221"/>
      <c r="S260" s="278">
        <f t="shared" si="136"/>
        <v>-287.43</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0</v>
      </c>
      <c r="M261" s="282"/>
      <c r="N261" s="283">
        <f t="shared" si="135"/>
        <v>-614.23719729445975</v>
      </c>
      <c r="O261" s="282"/>
      <c r="P261" s="280"/>
      <c r="Q261" s="239">
        <f>SUMIFS(BV_Data_An_Prec!$O:$O,BV_Data_An_Prec!$U:$U,$B261,BV_Data_An_Prec!$V:$V,$C261,BV_Data_An_Prec!$W:$W,$L$2)</f>
        <v>679.96</v>
      </c>
      <c r="R261" s="282"/>
      <c r="S261" s="284">
        <f t="shared" si="136"/>
        <v>-679.96</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0</v>
      </c>
      <c r="M262" s="221"/>
      <c r="N262" s="226">
        <f t="shared" si="135"/>
        <v>-487.77659785148285</v>
      </c>
      <c r="O262" s="221"/>
      <c r="P262" s="227"/>
      <c r="Q262" s="275">
        <f>SUMIFS(BV_Data_An_Prec!$O:$O,BV_Data_An_Prec!$U:$U,$B262,BV_Data_An_Prec!$V:$V,$C262,BV_Data_An_Prec!$W:$W,$L$2)</f>
        <v>487.31</v>
      </c>
      <c r="R262" s="221"/>
      <c r="S262" s="278">
        <f t="shared" si="136"/>
        <v>-487.31</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0</v>
      </c>
      <c r="M263" s="221"/>
      <c r="N263" s="226">
        <f t="shared" si="135"/>
        <v>-198.72379912467818</v>
      </c>
      <c r="O263" s="221"/>
      <c r="P263" s="227"/>
      <c r="Q263" s="275">
        <f>SUMIFS(BV_Data_An_Prec!$O:$O,BV_Data_An_Prec!$U:$U,$B263,BV_Data_An_Prec!$V:$V,$C263,BV_Data_An_Prec!$W:$W,$L$2)</f>
        <v>113.33</v>
      </c>
      <c r="R263" s="221"/>
      <c r="S263" s="278">
        <f t="shared" si="136"/>
        <v>-113.33</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0</v>
      </c>
      <c r="M265" s="43"/>
      <c r="N265" s="46">
        <f t="shared" si="135"/>
        <v>-7621.0690578490239</v>
      </c>
      <c r="O265" s="42" t="s">
        <v>111</v>
      </c>
      <c r="P265" s="40">
        <f>IF(Q243=0,0,Q265/Q$243)</f>
        <v>0</v>
      </c>
      <c r="Q265" s="41">
        <f>+SUM(Q253:Q264)</f>
        <v>9475.739999999998</v>
      </c>
      <c r="R265" s="43"/>
      <c r="S265" s="293">
        <f t="shared" ref="S265:S283" si="137">L265-Q265</f>
        <v>-9475.739999999998</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0.05</v>
      </c>
      <c r="R266" s="297"/>
      <c r="S266" s="193">
        <f t="shared" si="137"/>
        <v>-0.05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326.87477948164729</v>
      </c>
      <c r="G267" s="296"/>
      <c r="H267" s="172"/>
      <c r="I267" s="173">
        <f>+INDEX('Budget révisé'!$A$2:$AO$500,MATCH($A267,'Budget révisé'!$A$2:$A$500,0),MATCH(I$2,'Budget révisé'!$A$2:$AO$2,0))</f>
        <v>326.87477948164729</v>
      </c>
      <c r="J267" s="297"/>
      <c r="K267" s="172"/>
      <c r="L267" s="174">
        <f>SUMIFS(BV_Data_An_Cour!$P:$P,BV_Data_An_Cour!$V:$V,$B267,BV_Data_An_Cour!$W:$W,$C267,BV_Data_An_Cour!$X:$X,$L$2)</f>
        <v>0</v>
      </c>
      <c r="M267" s="297"/>
      <c r="N267" s="298">
        <f t="shared" si="135"/>
        <v>-326.87477948164729</v>
      </c>
      <c r="O267" s="297"/>
      <c r="P267" s="172"/>
      <c r="Q267" s="174">
        <f>SUMIFS(BV_Data_An_Prec!$O:$O,BV_Data_An_Prec!$U:$U,$B267,BV_Data_An_Prec!$V:$V,$C267,BV_Data_An_Prec!$W:$W,$L$2)</f>
        <v>878.57</v>
      </c>
      <c r="R267" s="297"/>
      <c r="S267" s="193">
        <f t="shared" si="137"/>
        <v>-878.57</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590.28</v>
      </c>
      <c r="R268" s="304"/>
      <c r="S268" s="196">
        <f t="shared" si="137"/>
        <v>-590.28</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1318.02</v>
      </c>
      <c r="R269" s="297"/>
      <c r="S269" s="193">
        <f t="shared" si="137"/>
        <v>-1318.02</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125.68</v>
      </c>
      <c r="R270" s="297"/>
      <c r="S270" s="193">
        <f t="shared" si="137"/>
        <v>-125.68</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963.47128888888892</v>
      </c>
      <c r="G271" s="303"/>
      <c r="H271" s="302"/>
      <c r="I271" s="171">
        <f>+INDEX('Budget révisé'!$A$2:$AO$500,MATCH($A271,'Budget révisé'!$A$2:$A$500,0),MATCH(I$2,'Budget révisé'!$A$2:$AO$2,0))</f>
        <v>963.47128888888892</v>
      </c>
      <c r="J271" s="304"/>
      <c r="K271" s="302"/>
      <c r="L271" s="174">
        <f>SUMIFS(BV_Data_An_Cour!$P:$P,BV_Data_An_Cour!$V:$V,$B271,BV_Data_An_Cour!$W:$W,$C271,BV_Data_An_Cour!$X:$X,$L$2)</f>
        <v>0</v>
      </c>
      <c r="M271" s="304"/>
      <c r="N271" s="305">
        <f t="shared" si="135"/>
        <v>-963.47128888888892</v>
      </c>
      <c r="O271" s="304"/>
      <c r="P271" s="302"/>
      <c r="Q271" s="174">
        <f>SUMIFS(BV_Data_An_Prec!$O:$O,BV_Data_An_Prec!$U:$U,$B271,BV_Data_An_Prec!$V:$V,$C271,BV_Data_An_Prec!$W:$W,$L$2)</f>
        <v>1199.3900000000001</v>
      </c>
      <c r="R271" s="304"/>
      <c r="S271" s="196">
        <f t="shared" si="137"/>
        <v>-1199.3900000000001</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79.371050795832929</v>
      </c>
      <c r="G273" s="296"/>
      <c r="H273" s="172"/>
      <c r="I273" s="173">
        <f>+INDEX('Budget révisé'!$A$2:$AO$500,MATCH($A273,'Budget révisé'!$A$2:$A$500,0),MATCH(I$2,'Budget révisé'!$A$2:$AO$2,0))</f>
        <v>79.371050795832929</v>
      </c>
      <c r="J273" s="297"/>
      <c r="K273" s="172"/>
      <c r="L273" s="275">
        <f>SUMIFS(BV_Data_An_Cour!$P:$P,BV_Data_An_Cour!$V:$V,$B273,BV_Data_An_Cour!$W:$W,$C273,BV_Data_An_Cour!$X:$X,$L$2)</f>
        <v>0</v>
      </c>
      <c r="M273" s="297"/>
      <c r="N273" s="298">
        <f t="shared" si="135"/>
        <v>-79.371050795832929</v>
      </c>
      <c r="O273" s="297"/>
      <c r="P273" s="172"/>
      <c r="Q273" s="174">
        <f>SUMIFS(BV_Data_An_Prec!$O:$O,BV_Data_An_Prec!$U:$U,$B273,BV_Data_An_Prec!$V:$V,$C273,BV_Data_An_Prec!$W:$W,$L$2)</f>
        <v>4.55</v>
      </c>
      <c r="R273" s="297"/>
      <c r="S273" s="193">
        <f t="shared" si="137"/>
        <v>-4.55</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42.175689904034691</v>
      </c>
      <c r="G274" s="296"/>
      <c r="H274" s="172"/>
      <c r="I274" s="173">
        <f>+INDEX('Budget révisé'!$A$2:$AO$500,MATCH($A274,'Budget révisé'!$A$2:$A$500,0),MATCH(I$2,'Budget révisé'!$A$2:$AO$2,0))</f>
        <v>42.175689904034691</v>
      </c>
      <c r="J274" s="297"/>
      <c r="K274" s="172"/>
      <c r="L274" s="275">
        <f>SUMIFS(BV_Data_An_Cour!$P:$P,BV_Data_An_Cour!$V:$V,$B274,BV_Data_An_Cour!$W:$W,$C274,BV_Data_An_Cour!$X:$X,$L$2)</f>
        <v>0</v>
      </c>
      <c r="M274" s="297"/>
      <c r="N274" s="298">
        <f t="shared" si="135"/>
        <v>-42.175689904034691</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76.84</v>
      </c>
      <c r="R275" s="297"/>
      <c r="S275" s="193">
        <f t="shared" si="137"/>
        <v>-76.84</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27.01</v>
      </c>
      <c r="R276" s="297"/>
      <c r="S276" s="193">
        <f t="shared" si="137"/>
        <v>-27.01</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43.13</v>
      </c>
      <c r="R277" s="297"/>
      <c r="S277" s="193">
        <f t="shared" si="137"/>
        <v>-43.13</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164.52</v>
      </c>
      <c r="R278" s="297"/>
      <c r="S278" s="193">
        <f t="shared" si="137"/>
        <v>-164.52</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6.2</v>
      </c>
      <c r="R279" s="297"/>
      <c r="S279" s="193">
        <f t="shared" si="137"/>
        <v>-6.2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964.82930994751905</v>
      </c>
      <c r="G280" s="296"/>
      <c r="H280" s="172"/>
      <c r="I280" s="173">
        <f>+INDEX('Budget révisé'!$A$2:$AO$500,MATCH($A280,'Budget révisé'!$A$2:$A$500,0),MATCH(I$2,'Budget révisé'!$A$2:$AO$2,0))</f>
        <v>964.82930994751905</v>
      </c>
      <c r="J280" s="297"/>
      <c r="K280" s="172"/>
      <c r="L280" s="275">
        <f>AF447*W6</f>
        <v>0</v>
      </c>
      <c r="M280" s="297"/>
      <c r="N280" s="298">
        <f t="shared" si="135"/>
        <v>-964.82930994751905</v>
      </c>
      <c r="O280" s="297"/>
      <c r="P280" s="172"/>
      <c r="Q280" s="275">
        <f>AL447*W6</f>
        <v>285.84825000000001</v>
      </c>
      <c r="R280" s="297"/>
      <c r="S280" s="193">
        <f t="shared" si="137"/>
        <v>-285.84825000000001</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4909.3989538095902</v>
      </c>
      <c r="G284" s="42" t="s">
        <v>111</v>
      </c>
      <c r="H284" s="40" t="e">
        <f>I284/I$243</f>
        <v>#DIV/0!</v>
      </c>
      <c r="I284" s="41">
        <f>+SUM(I266:I283)</f>
        <v>4909.3989538095902</v>
      </c>
      <c r="J284" s="42" t="s">
        <v>111</v>
      </c>
      <c r="K284" s="40">
        <f>IF(L261=0,0,L284/L$243)</f>
        <v>0</v>
      </c>
      <c r="L284" s="41">
        <f>+SUM(L266:L283)</f>
        <v>0</v>
      </c>
      <c r="M284" s="44"/>
      <c r="N284" s="41">
        <f>+SUM(N266:N283)</f>
        <v>-4909.3989538095902</v>
      </c>
      <c r="O284" s="42" t="s">
        <v>111</v>
      </c>
      <c r="P284" s="40" t="e">
        <f>IF(Q261=0,0,Q284/Q$243)</f>
        <v>#DIV/0!</v>
      </c>
      <c r="Q284" s="41">
        <f>+SUM(Q266:Q283)</f>
        <v>4720.0882500000007</v>
      </c>
      <c r="R284" s="44"/>
      <c r="S284" s="310">
        <f t="shared" ref="S284" si="142">L284-Q284</f>
        <v>-4720.0882500000007</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12530.468011658613</v>
      </c>
      <c r="G286" s="42" t="s">
        <v>111</v>
      </c>
      <c r="H286" s="40" t="e">
        <f>I286/I$243</f>
        <v>#DIV/0!</v>
      </c>
      <c r="I286" s="41">
        <f>I265+I284</f>
        <v>12530.468011658613</v>
      </c>
      <c r="J286" s="42" t="s">
        <v>111</v>
      </c>
      <c r="K286" s="40">
        <f>IF(L263=0,0,L286/L$243)</f>
        <v>0</v>
      </c>
      <c r="L286" s="41">
        <f>L265+L284</f>
        <v>0</v>
      </c>
      <c r="M286" s="44"/>
      <c r="N286" s="46">
        <f t="shared" ref="N286:N288" si="143">L286-I286</f>
        <v>-12530.468011658613</v>
      </c>
      <c r="O286" s="42" t="s">
        <v>111</v>
      </c>
      <c r="P286" s="40" t="e">
        <f>IF(Q263=0,0,Q286/Q$243)</f>
        <v>#DIV/0!</v>
      </c>
      <c r="Q286" s="41">
        <f>Q265+Q284</f>
        <v>14195.828249999999</v>
      </c>
      <c r="R286" s="44"/>
      <c r="S286" s="293">
        <f>L286-Q286</f>
        <v>-14195.828249999999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8297.8707145665321</v>
      </c>
      <c r="G288" s="338"/>
      <c r="H288" s="336"/>
      <c r="I288" s="337">
        <f>I249-I286</f>
        <v>8297.8707145665321</v>
      </c>
      <c r="J288" s="339"/>
      <c r="K288" s="340"/>
      <c r="L288" s="337">
        <f>L249-L286</f>
        <v>0</v>
      </c>
      <c r="M288" s="339"/>
      <c r="N288" s="337">
        <f t="shared" si="143"/>
        <v>-8297.8707145665321</v>
      </c>
      <c r="O288" s="339"/>
      <c r="P288" s="340"/>
      <c r="Q288" s="337">
        <f>Q249-Q286</f>
        <v>8943.2417499999974</v>
      </c>
      <c r="R288" s="339"/>
      <c r="S288" s="341">
        <f>L288-Q288</f>
        <v>-8943.2417499999974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Novembre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149473.11647677055</v>
      </c>
      <c r="E294" s="204">
        <f>IF(D294=0,0,F294/D294)</f>
        <v>0.35811007851031496</v>
      </c>
      <c r="F294" s="193">
        <f>+INDEX('Budget original'!$A$2:$AO$500,MATCH($A294,'Budget original'!$A$2:$A$500,0),MATCH(F$2,'Budget original'!$A$2:$AO$2,0))</f>
        <v>53527.829476677754</v>
      </c>
      <c r="G294" s="191">
        <f>+INDEX('Budget révisé'!$A$2:$AO$500,MATCH($A294,'Budget révisé'!$A$2:$A$500,0),MATCH(G$2,'Budget révisé'!$A$2:$AO$2,0))</f>
        <v>149473.11647677055</v>
      </c>
      <c r="H294" s="204">
        <f>IF(G294=0,0,I294/G294)</f>
        <v>0.35811007851031496</v>
      </c>
      <c r="I294" s="193">
        <f>+INDEX('Budget révisé'!$A$2:$AO$500,MATCH($A294,'Budget révisé'!$A$2:$A$500,0),MATCH(I$2,'Budget révisé'!$A$2:$AO$2,0))</f>
        <v>53527.829476677754</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-53527.829476677754</v>
      </c>
      <c r="O294" s="173">
        <f>-SUMIFS(BV_Data_An_Prec!$O:$O,BV_Data_An_Prec!$X:$X,"Oui",BV_Data_An_Prec!$U:$U,$B294,BV_Data_An_Prec!$V:$V,$C294)</f>
        <v>111355.86</v>
      </c>
      <c r="P294" s="204">
        <f t="shared" ref="P294:P303" si="147">IF(O294&lt;=0,0,Q294/O294)</f>
        <v>0.34216600724919188</v>
      </c>
      <c r="Q294" s="193">
        <f>-SUMIFS(BV_Data_An_Prec!$O:$O,BV_Data_An_Prec!$U:$U,$B294,BV_Data_An_Prec!$V:$V,$C294,BV_Data_An_Prec!$W:$W,$L$2)</f>
        <v>38102.189999999995</v>
      </c>
      <c r="R294" s="318">
        <f>IF(O294=0,0,(J294-O294)/O294)</f>
        <v>-1</v>
      </c>
      <c r="S294" s="193">
        <f t="shared" ref="S294:S299" si="148">L294-Q294</f>
        <v>-38102.189999999995</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57225.564745148426</v>
      </c>
      <c r="E295" s="204">
        <f t="shared" ref="E295:E302" si="149">IF(D295=0,0,F295/D295)</f>
        <v>0.2571723304036081</v>
      </c>
      <c r="F295" s="193">
        <f>+INDEX('Budget original'!$A$2:$AO$500,MATCH($A295,'Budget original'!$A$2:$A$500,0),MATCH(F$2,'Budget original'!$A$2:$AO$2,0))</f>
        <v>14716.831844172379</v>
      </c>
      <c r="G295" s="191">
        <f>+INDEX('Budget révisé'!$A$2:$AO$500,MATCH($A295,'Budget révisé'!$A$2:$A$500,0),MATCH(G$2,'Budget révisé'!$A$2:$AO$2,0))</f>
        <v>57225.564745148426</v>
      </c>
      <c r="H295" s="204">
        <f t="shared" ref="H295:H302" si="150">IF(G295=0,0,I295/G295)</f>
        <v>0.2571723304036081</v>
      </c>
      <c r="I295" s="193">
        <f>+INDEX('Budget révisé'!$A$2:$AO$500,MATCH($A295,'Budget révisé'!$A$2:$A$500,0),MATCH(I$2,'Budget révisé'!$A$2:$AO$2,0))</f>
        <v>14716.831844172379</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-14716.831844172379</v>
      </c>
      <c r="O295" s="173">
        <f>-SUMIFS(BV_Data_An_Prec!$O:$O,BV_Data_An_Prec!$X:$X,"Oui",BV_Data_An_Prec!$U:$U,$B295,BV_Data_An_Prec!$V:$V,$C295)</f>
        <v>52203.49</v>
      </c>
      <c r="P295" s="204">
        <f t="shared" si="147"/>
        <v>0.23545226573932113</v>
      </c>
      <c r="Q295" s="193">
        <f>-SUMIFS(BV_Data_An_Prec!$O:$O,BV_Data_An_Prec!$U:$U,$B295,BV_Data_An_Prec!$V:$V,$C295,BV_Data_An_Prec!$W:$W,$L$2)</f>
        <v>12291.429999999993</v>
      </c>
      <c r="R295" s="318">
        <f t="shared" ref="R295:R302" si="151">IF(O295=0,0,(J295-O295)/O295)</f>
        <v>-1</v>
      </c>
      <c r="S295" s="193">
        <f t="shared" si="148"/>
        <v>-12291.429999999993</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52760.337024139764</v>
      </c>
      <c r="E296" s="204">
        <f t="shared" si="149"/>
        <v>0.24177651145507992</v>
      </c>
      <c r="F296" s="193">
        <f>+INDEX('Budget original'!$A$2:$AO$500,MATCH($A296,'Budget original'!$A$2:$A$500,0),MATCH(F$2,'Budget original'!$A$2:$AO$2,0))</f>
        <v>12756.210228890805</v>
      </c>
      <c r="G296" s="191">
        <f>+INDEX('Budget révisé'!$A$2:$AO$500,MATCH($A296,'Budget révisé'!$A$2:$A$500,0),MATCH(G$2,'Budget révisé'!$A$2:$AO$2,0))</f>
        <v>52760.337024139764</v>
      </c>
      <c r="H296" s="204">
        <f t="shared" si="150"/>
        <v>0.24177651145507992</v>
      </c>
      <c r="I296" s="193">
        <f>+INDEX('Budget révisé'!$A$2:$AO$500,MATCH($A296,'Budget révisé'!$A$2:$A$500,0),MATCH(I$2,'Budget révisé'!$A$2:$AO$2,0))</f>
        <v>12756.210228890805</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-12756.210228890805</v>
      </c>
      <c r="O296" s="173">
        <f>-SUMIFS(BV_Data_An_Prec!$O:$O,BV_Data_An_Prec!$X:$X,"Oui",BV_Data_An_Prec!$U:$U,$B296,BV_Data_An_Prec!$V:$V,$C296)</f>
        <v>26438.95</v>
      </c>
      <c r="P296" s="204">
        <f t="shared" si="147"/>
        <v>0.23016988193555343</v>
      </c>
      <c r="Q296" s="193">
        <f>-SUMIFS(BV_Data_An_Prec!$O:$O,BV_Data_An_Prec!$U:$U,$B296,BV_Data_An_Prec!$V:$V,$C296,BV_Data_An_Prec!$W:$W,$L$2)</f>
        <v>6085.4500000000007</v>
      </c>
      <c r="R296" s="318">
        <f t="shared" si="151"/>
        <v>-1</v>
      </c>
      <c r="S296" s="193">
        <f t="shared" si="148"/>
        <v>-6085.4500000000007</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63915.671014614694</v>
      </c>
      <c r="E297" s="204">
        <f t="shared" si="149"/>
        <v>0.32393223852119107</v>
      </c>
      <c r="F297" s="193">
        <f>+INDEX('Budget original'!$A$2:$AO$500,MATCH($A297,'Budget original'!$A$2:$A$500,0),MATCH(F$2,'Budget original'!$A$2:$AO$2,0))</f>
        <v>20704.346388348145</v>
      </c>
      <c r="G297" s="191">
        <f>+INDEX('Budget révisé'!$A$2:$AO$500,MATCH($A297,'Budget révisé'!$A$2:$A$500,0),MATCH(G$2,'Budget révisé'!$A$2:$AO$2,0))</f>
        <v>63915.671014614694</v>
      </c>
      <c r="H297" s="204">
        <f t="shared" si="150"/>
        <v>0.32393223852119107</v>
      </c>
      <c r="I297" s="193">
        <f>+INDEX('Budget révisé'!$A$2:$AO$500,MATCH($A297,'Budget révisé'!$A$2:$A$500,0),MATCH(I$2,'Budget révisé'!$A$2:$AO$2,0))</f>
        <v>20704.346388348145</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-20704.346388348145</v>
      </c>
      <c r="O297" s="173">
        <f>-SUMIFS(BV_Data_An_Prec!$O:$O,BV_Data_An_Prec!$X:$X,"Oui",BV_Data_An_Prec!$U:$U,$B297,BV_Data_An_Prec!$V:$V,$C297)</f>
        <v>65871.83</v>
      </c>
      <c r="P297" s="204">
        <f t="shared" si="147"/>
        <v>0.27498355518588141</v>
      </c>
      <c r="Q297" s="193">
        <f>-SUMIFS(BV_Data_An_Prec!$O:$O,BV_Data_An_Prec!$U:$U,$B297,BV_Data_An_Prec!$V:$V,$C297,BV_Data_An_Prec!$W:$W,$L$2)</f>
        <v>18113.669999999998</v>
      </c>
      <c r="R297" s="318">
        <f t="shared" si="151"/>
        <v>-1</v>
      </c>
      <c r="S297" s="193">
        <f t="shared" si="148"/>
        <v>-18113.669999999998</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25087.796549504917</v>
      </c>
      <c r="E298" s="204">
        <f t="shared" si="149"/>
        <v>0.28113730707120016</v>
      </c>
      <c r="F298" s="193">
        <f>+INDEX('Budget original'!$A$2:$AO$500,MATCH($A298,'Budget original'!$A$2:$A$500,0),MATCH(F$2,'Budget original'!$A$2:$AO$2,0))</f>
        <v>7053.1155622779597</v>
      </c>
      <c r="G298" s="191">
        <f>+INDEX('Budget révisé'!$A$2:$AO$500,MATCH($A298,'Budget révisé'!$A$2:$A$500,0),MATCH(G$2,'Budget révisé'!$A$2:$AO$2,0))</f>
        <v>25087.796549504917</v>
      </c>
      <c r="H298" s="204">
        <f t="shared" si="150"/>
        <v>0.28113730707120016</v>
      </c>
      <c r="I298" s="193">
        <f>+INDEX('Budget révisé'!$A$2:$AO$500,MATCH($A298,'Budget révisé'!$A$2:$A$500,0),MATCH(I$2,'Budget révisé'!$A$2:$AO$2,0))</f>
        <v>7053.1155622779597</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-7053.1155622779597</v>
      </c>
      <c r="O298" s="173">
        <f>-SUMIFS(BV_Data_An_Prec!$O:$O,BV_Data_An_Prec!$X:$X,"Oui",BV_Data_An_Prec!$U:$U,$B298,BV_Data_An_Prec!$V:$V,$C298)</f>
        <v>17757.8</v>
      </c>
      <c r="P298" s="204">
        <f t="shared" si="147"/>
        <v>0.2828672470688936</v>
      </c>
      <c r="Q298" s="193">
        <f>-SUMIFS(BV_Data_An_Prec!$O:$O,BV_Data_An_Prec!$U:$U,$B298,BV_Data_An_Prec!$V:$V,$C298,BV_Data_An_Prec!$W:$W,$L$2)</f>
        <v>5023.0999999999985</v>
      </c>
      <c r="R298" s="318">
        <f t="shared" si="151"/>
        <v>-1</v>
      </c>
      <c r="S298" s="193">
        <f t="shared" si="148"/>
        <v>-5023.0999999999985</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56903.922574518627</v>
      </c>
      <c r="E299" s="204">
        <f t="shared" si="149"/>
        <v>0.18194830719212418</v>
      </c>
      <c r="F299" s="193">
        <f>+INDEX('Budget original'!$A$2:$AO$500,MATCH($A299,'Budget original'!$A$2:$A$500,0),MATCH(F$2,'Budget original'!$A$2:$AO$2,0))</f>
        <v>10353.572385025365</v>
      </c>
      <c r="G299" s="191">
        <f>+INDEX('Budget révisé'!$A$2:$AO$500,MATCH($A299,'Budget révisé'!$A$2:$A$500,0),MATCH(G$2,'Budget révisé'!$A$2:$AO$2,0))</f>
        <v>56903.922574518627</v>
      </c>
      <c r="H299" s="204">
        <f t="shared" si="150"/>
        <v>0.18194830719212418</v>
      </c>
      <c r="I299" s="193">
        <f>+INDEX('Budget révisé'!$A$2:$AO$500,MATCH($A299,'Budget révisé'!$A$2:$A$500,0),MATCH(I$2,'Budget révisé'!$A$2:$AO$2,0))</f>
        <v>10353.572385025365</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-10353.572385025365</v>
      </c>
      <c r="O299" s="173">
        <f>-SUMIFS(BV_Data_An_Prec!$O:$O,BV_Data_An_Prec!$X:$X,"Oui",BV_Data_An_Prec!$U:$U,$B299,BV_Data_An_Prec!$V:$V,$C299)</f>
        <v>66382.19</v>
      </c>
      <c r="P299" s="204">
        <f t="shared" si="147"/>
        <v>0.19677778030522947</v>
      </c>
      <c r="Q299" s="193">
        <f>-SUMIFS(BV_Data_An_Prec!$O:$O,BV_Data_An_Prec!$U:$U,$B299,BV_Data_An_Prec!$V:$V,$C299,BV_Data_An_Prec!$W:$W,$L$2)</f>
        <v>13062.54</v>
      </c>
      <c r="R299" s="318">
        <f t="shared" si="151"/>
        <v>-1</v>
      </c>
      <c r="S299" s="193">
        <f t="shared" si="148"/>
        <v>-13062.54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6717.8589733976969</v>
      </c>
      <c r="G301" s="191">
        <f>+INDEX('Budget révisé'!$A$2:$AO$500,MATCH($A301,'Budget révisé'!$A$2:$A$500,0),MATCH(G$2,'Budget révisé'!$A$2:$AO$2,0))</f>
        <v>0</v>
      </c>
      <c r="H301" s="204">
        <f t="shared" si="150"/>
        <v>0</v>
      </c>
      <c r="I301" s="193">
        <f>+INDEX('Budget révisé'!$A$2:$AO$500,MATCH($A301,'Budget révisé'!$A$2:$A$500,0),MATCH(I$2,'Budget révisé'!$A$2:$AO$2,0))</f>
        <v>6717.8589733976969</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-6717.8589733976969</v>
      </c>
      <c r="O301" s="173">
        <f>-SUMIFS(BV_Data_An_Prec!$O:$O,BV_Data_An_Prec!$X:$X,"Oui",BV_Data_An_Prec!$U:$U,$B301,BV_Data_An_Prec!$V:$V,$C301)</f>
        <v>0</v>
      </c>
      <c r="P301" s="204">
        <f t="shared" si="147"/>
        <v>0</v>
      </c>
      <c r="Q301" s="193">
        <f>-SUMIFS(BV_Data_An_Prec!$O:$O,BV_Data_An_Prec!$U:$U,$B301,BV_Data_An_Prec!$V:$V,$C301,BV_Data_An_Prec!$W:$W,$L$2)</f>
        <v>13647.72</v>
      </c>
      <c r="R301" s="318">
        <f t="shared" si="151"/>
        <v>0</v>
      </c>
      <c r="S301" s="193">
        <f t="shared" ref="S301:S303" si="162">L301-Q301</f>
        <v>-13647.72</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405366.40838469693</v>
      </c>
      <c r="E303" s="322">
        <f>IF(D303&lt;=0,0,F303/D303)</f>
        <v>0.31040994580729137</v>
      </c>
      <c r="F303" s="194">
        <f>SUM(F294:F302)</f>
        <v>125829.76485879012</v>
      </c>
      <c r="G303" s="192">
        <f>SUM(G294:G302)</f>
        <v>405366.40838469693</v>
      </c>
      <c r="H303" s="322">
        <f>IF(G303&lt;=0,0,I303/G303)</f>
        <v>0.31040994580729137</v>
      </c>
      <c r="I303" s="194">
        <f>SUM(I294:I302)</f>
        <v>125829.76485879012</v>
      </c>
      <c r="J303" s="192">
        <f>SUM(J294:J302)</f>
        <v>0</v>
      </c>
      <c r="K303" s="322">
        <f t="shared" si="160"/>
        <v>0</v>
      </c>
      <c r="L303" s="323">
        <f>SUM(L294:L302)</f>
        <v>0</v>
      </c>
      <c r="M303" s="324">
        <f>(+J303-G303)/G303</f>
        <v>-1</v>
      </c>
      <c r="N303" s="323">
        <f t="shared" si="161"/>
        <v>-125829.76485879012</v>
      </c>
      <c r="O303" s="192">
        <f>SUM(O294:O302)</f>
        <v>340010.12</v>
      </c>
      <c r="P303" s="322">
        <f t="shared" si="147"/>
        <v>0.31271451567382763</v>
      </c>
      <c r="Q303" s="323">
        <f>SUM(Q294:Q302)</f>
        <v>106326.1</v>
      </c>
      <c r="R303" s="324">
        <f>IF(O303=0,0,(J303-O303)/O303)</f>
        <v>-1</v>
      </c>
      <c r="S303" s="194">
        <f t="shared" si="162"/>
        <v>-106326.1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109688.00715738688</v>
      </c>
      <c r="E306" s="204">
        <f t="shared" ref="E306:E307" si="163">IF(D306=0,0,F306/D306)</f>
        <v>0.1816444838198383</v>
      </c>
      <c r="F306" s="195">
        <f>+INDEX('Budget original'!$A$2:$AO$500,MATCH($A306,'Budget original'!$A$2:$A$500,0),MATCH(F$2,'Budget original'!$A$2:$AO$2,0))</f>
        <v>19924.221441330268</v>
      </c>
      <c r="G306" s="191">
        <f>+INDEX('Budget révisé'!$A$2:$AO$500,MATCH($A306,'Budget révisé'!$A$2:$A$500,0),MATCH(G$2,'Budget révisé'!$A$2:$AO$2,0))</f>
        <v>109688.00715738688</v>
      </c>
      <c r="H306" s="204">
        <f t="shared" ref="H306:H307" si="164">IF(G306=0,0,I306/G306)</f>
        <v>0.1816444838198383</v>
      </c>
      <c r="I306" s="195">
        <f>+INDEX('Budget révisé'!$A$2:$AO$500,MATCH($A306,'Budget révisé'!$A$2:$A$500,0),MATCH(I$2,'Budget révisé'!$A$2:$AO$2,0))</f>
        <v>19924.221441330268</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-19924.221441330268</v>
      </c>
      <c r="O306" s="173">
        <f>-SUMIFS(BV_Data_An_Prec!$O:$O,BV_Data_An_Prec!$X:$X,"Oui",BV_Data_An_Prec!$U:$U,$B306,BV_Data_An_Prec!$V:$V,$C306)</f>
        <v>129190.53000000001</v>
      </c>
      <c r="P306" s="204">
        <f t="shared" ref="P306:P308" si="168">IF(O306&lt;=0,0,Q306/O306)</f>
        <v>0.17563516458985046</v>
      </c>
      <c r="Q306" s="195">
        <f>-SUMIFS(BV_Data_An_Prec!$O:$O,BV_Data_An_Prec!$U:$U,$B306,BV_Data_An_Prec!$V:$V,$C306,BV_Data_An_Prec!$W:$W,$L$2)</f>
        <v>22690.400000000016</v>
      </c>
      <c r="R306" s="318">
        <f t="shared" ref="R306:R307" si="169">IF(O306=0,0,(J306-O306)/O306)</f>
        <v>-1</v>
      </c>
      <c r="S306" s="193">
        <f t="shared" ref="S306:S308" si="170">L306-Q306</f>
        <v>-22690.400000000016</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30020.764181026705</v>
      </c>
      <c r="E307" s="204">
        <f t="shared" si="163"/>
        <v>0.29130399895825637</v>
      </c>
      <c r="F307" s="196">
        <f>+INDEX('Budget original'!$A$2:$AO$500,MATCH($A307,'Budget original'!$A$2:$A$500,0),MATCH(F$2,'Budget original'!$A$2:$AO$2,0))</f>
        <v>8745.1686577158634</v>
      </c>
      <c r="G307" s="191">
        <f>+INDEX('Budget révisé'!$A$2:$AO$500,MATCH($A307,'Budget révisé'!$A$2:$A$500,0),MATCH(G$2,'Budget révisé'!$A$2:$AO$2,0))</f>
        <v>30020.764181026705</v>
      </c>
      <c r="H307" s="204">
        <f t="shared" si="164"/>
        <v>0.29130399895825637</v>
      </c>
      <c r="I307" s="196">
        <f>+INDEX('Budget révisé'!$A$2:$AO$500,MATCH($A307,'Budget révisé'!$A$2:$A$500,0),MATCH(I$2,'Budget révisé'!$A$2:$AO$2,0))</f>
        <v>8745.1686577158634</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-8745.1686577158634</v>
      </c>
      <c r="O307" s="173">
        <f>-SUMIFS(BV_Data_An_Prec!$O:$O,BV_Data_An_Prec!$X:$X,"Oui",BV_Data_An_Prec!$U:$U,$B307,BV_Data_An_Prec!$V:$V,$C307)</f>
        <v>30293.95</v>
      </c>
      <c r="P307" s="204">
        <f t="shared" si="168"/>
        <v>0.26841564074674973</v>
      </c>
      <c r="Q307" s="196">
        <f>-SUMIFS(BV_Data_An_Prec!$O:$O,BV_Data_An_Prec!$U:$U,$B307,BV_Data_An_Prec!$V:$V,$C307,BV_Data_An_Prec!$W:$W,$L$2)</f>
        <v>8131.369999999999</v>
      </c>
      <c r="R307" s="318">
        <f t="shared" si="169"/>
        <v>-1</v>
      </c>
      <c r="S307" s="193">
        <f t="shared" si="170"/>
        <v>-8131.369999999999</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545075.17972311052</v>
      </c>
      <c r="E308" s="322">
        <f>IF(D308&lt;=0,0,F308/D308)</f>
        <v>0.28344558825136629</v>
      </c>
      <c r="F308" s="323">
        <f t="shared" ref="F308" si="171">F303+F306+F307</f>
        <v>154499.15495783626</v>
      </c>
      <c r="G308" s="325">
        <f>G303+G306+G307</f>
        <v>545075.17972311052</v>
      </c>
      <c r="H308" s="322">
        <f>IF(G308&lt;=0,0,I308/G308)</f>
        <v>0.28344558825136629</v>
      </c>
      <c r="I308" s="323">
        <f t="shared" ref="I308" si="172">I303+I306+I307</f>
        <v>154499.15495783626</v>
      </c>
      <c r="J308" s="325">
        <f t="shared" ref="J308" si="173">J303+J306+J307</f>
        <v>0</v>
      </c>
      <c r="K308" s="322">
        <f t="shared" si="165"/>
        <v>0</v>
      </c>
      <c r="L308" s="323">
        <f>L303+L306+L307</f>
        <v>0</v>
      </c>
      <c r="M308" s="324">
        <f t="shared" si="166"/>
        <v>-1</v>
      </c>
      <c r="N308" s="323">
        <f t="shared" si="167"/>
        <v>-154499.15495783626</v>
      </c>
      <c r="O308" s="325">
        <f t="shared" ref="O308" si="174">O303+O306+O307</f>
        <v>499494.60000000003</v>
      </c>
      <c r="P308" s="322">
        <f t="shared" si="168"/>
        <v>0.27457327867007975</v>
      </c>
      <c r="Q308" s="323">
        <f>Q303+Q306+Q307</f>
        <v>137147.87000000002</v>
      </c>
      <c r="R308" s="324">
        <f>IF(O308=0,0,(J308-O308)/O308)</f>
        <v>-1</v>
      </c>
      <c r="S308" s="194">
        <f t="shared" si="170"/>
        <v>-137147.87000000002</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545075.17972311052</v>
      </c>
      <c r="E313" s="71">
        <f>IF(D313&lt;=0,0,F313/D313)</f>
        <v>0.28344558825136629</v>
      </c>
      <c r="F313" s="28">
        <f t="shared" ref="F313" si="177">F308+F311</f>
        <v>154499.15495783626</v>
      </c>
      <c r="G313" s="29">
        <f>G308+G311</f>
        <v>545075.17972311052</v>
      </c>
      <c r="H313" s="71">
        <f>IF(G313&lt;=0,0,I313/G313)</f>
        <v>0.28344558825136629</v>
      </c>
      <c r="I313" s="28">
        <f t="shared" ref="I313" si="178">I308+I311</f>
        <v>154499.15495783626</v>
      </c>
      <c r="J313" s="29">
        <f t="shared" ref="J313" si="179">J308+J311</f>
        <v>0</v>
      </c>
      <c r="K313" s="71">
        <f>IF(J313&lt;=0,0,L313/J313)</f>
        <v>0</v>
      </c>
      <c r="L313" s="28">
        <f>L308+L311</f>
        <v>0</v>
      </c>
      <c r="M313" s="72">
        <f>(+J313-G313)/G313</f>
        <v>-1</v>
      </c>
      <c r="N313" s="73">
        <f>L313-I313</f>
        <v>-154499.15495783626</v>
      </c>
      <c r="O313" s="29">
        <f t="shared" ref="O313" si="180">O308+O311</f>
        <v>499494.60000000003</v>
      </c>
      <c r="P313" s="71">
        <f>IF(O313&lt;=0,0,Q313/O313)</f>
        <v>0.27457327867007975</v>
      </c>
      <c r="Q313" s="28">
        <f>Q308+Q311</f>
        <v>137147.87000000002</v>
      </c>
      <c r="R313" s="72">
        <f>IF(O313=0,0,(J313-O313)/O313)</f>
        <v>-1</v>
      </c>
      <c r="S313" s="264">
        <f>L313-Q313</f>
        <v>-137147.87000000002</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0</v>
      </c>
      <c r="M317" s="221"/>
      <c r="N317" s="226">
        <f t="shared" ref="N317:N328" si="181">L317-I317</f>
        <v>-2606.4352490421456</v>
      </c>
      <c r="O317" s="221"/>
      <c r="P317" s="227"/>
      <c r="Q317" s="275">
        <f>SUMIFS(BV_Data_An_Prec!$O:$O,BV_Data_An_Prec!$U:$U,$B317,BV_Data_An_Prec!$V:$V,$C317,BV_Data_An_Prec!$W:$W,$L$2)</f>
        <v>5759.86</v>
      </c>
      <c r="R317" s="221"/>
      <c r="S317" s="506">
        <f>L317-Q317</f>
        <v>-5759.86</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0</v>
      </c>
      <c r="M318" s="221"/>
      <c r="N318" s="226">
        <f t="shared" si="181"/>
        <v>-4365.3456786819925</v>
      </c>
      <c r="O318" s="221"/>
      <c r="P318" s="227"/>
      <c r="Q318" s="275">
        <f>SUMIFS(BV_Data_An_Prec!$O:$O,BV_Data_An_Prec!$U:$U,$B318,BV_Data_An_Prec!$V:$V,$C318,BV_Data_An_Prec!$W:$W,$L$2)</f>
        <v>4301.92</v>
      </c>
      <c r="R318" s="221"/>
      <c r="S318" s="278">
        <f t="shared" ref="S318:S342" si="182">L318-Q318</f>
        <v>-4301.92</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0</v>
      </c>
      <c r="M319" s="282"/>
      <c r="N319" s="283">
        <f t="shared" si="181"/>
        <v>-24550.484569134096</v>
      </c>
      <c r="O319" s="282"/>
      <c r="P319" s="280"/>
      <c r="Q319" s="239">
        <f>SUMIFS(BV_Data_An_Prec!$O:$O,BV_Data_An_Prec!$U:$U,$B319,BV_Data_An_Prec!$V:$V,$C319,BV_Data_An_Prec!$W:$W,$L$2)</f>
        <v>24094.25</v>
      </c>
      <c r="R319" s="282"/>
      <c r="S319" s="284">
        <f t="shared" si="182"/>
        <v>-24094.25</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0</v>
      </c>
      <c r="M324" s="221"/>
      <c r="N324" s="226">
        <f t="shared" si="181"/>
        <v>-3943.0674077405433</v>
      </c>
      <c r="O324" s="221"/>
      <c r="P324" s="227"/>
      <c r="Q324" s="275">
        <f>SUMIFS(BV_Data_An_Prec!$O:$O,BV_Data_An_Prec!$U:$U,$B324,BV_Data_An_Prec!$V:$V,$C324,BV_Data_An_Prec!$W:$W,$L$2)</f>
        <v>3545.48</v>
      </c>
      <c r="R324" s="221"/>
      <c r="S324" s="278">
        <f t="shared" si="182"/>
        <v>-3545.48</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0</v>
      </c>
      <c r="M325" s="282"/>
      <c r="N325" s="283">
        <f t="shared" si="181"/>
        <v>-3531.4210506315403</v>
      </c>
      <c r="O325" s="282"/>
      <c r="P325" s="280"/>
      <c r="Q325" s="239">
        <f>SUMIFS(BV_Data_An_Prec!$O:$O,BV_Data_An_Prec!$U:$U,$B325,BV_Data_An_Prec!$V:$V,$C325,BV_Data_An_Prec!$W:$W,$L$2)</f>
        <v>51.43</v>
      </c>
      <c r="R325" s="282"/>
      <c r="S325" s="284">
        <f t="shared" si="182"/>
        <v>-51.43</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0</v>
      </c>
      <c r="M326" s="221"/>
      <c r="N326" s="226">
        <f t="shared" si="181"/>
        <v>-2804.3637755015175</v>
      </c>
      <c r="O326" s="221"/>
      <c r="P326" s="227"/>
      <c r="Q326" s="275">
        <f>SUMIFS(BV_Data_An_Prec!$O:$O,BV_Data_An_Prec!$U:$U,$B326,BV_Data_An_Prec!$V:$V,$C326,BV_Data_An_Prec!$W:$W,$L$2)</f>
        <v>2155.52</v>
      </c>
      <c r="R326" s="221"/>
      <c r="S326" s="278">
        <f t="shared" si="182"/>
        <v>-2155.52</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0</v>
      </c>
      <c r="M327" s="221"/>
      <c r="N327" s="226">
        <f t="shared" si="181"/>
        <v>-1142.5185752043219</v>
      </c>
      <c r="O327" s="221"/>
      <c r="P327" s="227"/>
      <c r="Q327" s="275">
        <f>SUMIFS(BV_Data_An_Prec!$O:$O,BV_Data_An_Prec!$U:$U,$B327,BV_Data_An_Prec!$V:$V,$C327,BV_Data_An_Prec!$W:$W,$L$2)</f>
        <v>3457.5599999999995</v>
      </c>
      <c r="R327" s="221"/>
      <c r="S327" s="278">
        <f t="shared" si="182"/>
        <v>-3457.5599999999995</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0.27795385882632001</v>
      </c>
      <c r="F329" s="41">
        <f>+SUM(F317:F328)</f>
        <v>42943.636305936161</v>
      </c>
      <c r="G329" s="42" t="s">
        <v>111</v>
      </c>
      <c r="H329" s="40">
        <f>I329/I$313</f>
        <v>0.27795385882632001</v>
      </c>
      <c r="I329" s="41">
        <f>+SUM(I317:I328)</f>
        <v>42943.636305936161</v>
      </c>
      <c r="J329" s="42" t="s">
        <v>111</v>
      </c>
      <c r="K329" s="40" t="e">
        <f>L329/L$313</f>
        <v>#DIV/0!</v>
      </c>
      <c r="L329" s="41">
        <f>+SUM(L317:L328)</f>
        <v>0</v>
      </c>
      <c r="M329" s="43"/>
      <c r="N329" s="46">
        <f t="shared" ref="N329:N342" si="185">L329-I329</f>
        <v>-42943.636305936161</v>
      </c>
      <c r="O329" s="42" t="s">
        <v>111</v>
      </c>
      <c r="P329" s="40">
        <f>Q329/Q$313</f>
        <v>0.31619900476762774</v>
      </c>
      <c r="Q329" s="41">
        <f>+SUM(Q317:Q328)</f>
        <v>43366.02</v>
      </c>
      <c r="R329" s="43"/>
      <c r="S329" s="293">
        <f t="shared" si="182"/>
        <v>-43366.02</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6039.71</v>
      </c>
      <c r="R330" s="297"/>
      <c r="S330" s="193">
        <f t="shared" si="182"/>
        <v>-6039.71</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1253.2363173541548</v>
      </c>
      <c r="G331" s="296"/>
      <c r="H331" s="172"/>
      <c r="I331" s="173">
        <f>+INDEX('Budget révisé'!$A$2:$AO$500,MATCH($A331,'Budget révisé'!$A$2:$A$500,0),MATCH(I$2,'Budget révisé'!$A$2:$AO$2,0))</f>
        <v>1253.2363173541548</v>
      </c>
      <c r="J331" s="297"/>
      <c r="K331" s="172"/>
      <c r="L331" s="174">
        <f>SUMIFS(BV_Data_An_Cour!$P:$P,BV_Data_An_Cour!$V:$V,$B331,BV_Data_An_Cour!$W:$W,$C331,BV_Data_An_Cour!$X:$X,$L$2)</f>
        <v>0</v>
      </c>
      <c r="M331" s="297"/>
      <c r="N331" s="298">
        <f t="shared" si="185"/>
        <v>-1253.2363173541548</v>
      </c>
      <c r="O331" s="297"/>
      <c r="P331" s="172"/>
      <c r="Q331" s="174">
        <f>SUMIFS(BV_Data_An_Prec!$O:$O,BV_Data_An_Prec!$U:$U,$B331,BV_Data_An_Prec!$V:$V,$C331,BV_Data_An_Prec!$W:$W,$L$2)</f>
        <v>756.07</v>
      </c>
      <c r="R331" s="297"/>
      <c r="S331" s="193">
        <f t="shared" si="182"/>
        <v>-756.07</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318.04000000000002</v>
      </c>
      <c r="R332" s="304"/>
      <c r="S332" s="196">
        <f t="shared" si="182"/>
        <v>-318.04000000000002</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3535.26</v>
      </c>
      <c r="R333" s="297"/>
      <c r="S333" s="193">
        <f t="shared" si="182"/>
        <v>-3535.26</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448.8</v>
      </c>
      <c r="R334" s="297"/>
      <c r="S334" s="193">
        <f t="shared" si="182"/>
        <v>-448.8</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8998.9226888888879</v>
      </c>
      <c r="G335" s="303"/>
      <c r="H335" s="302"/>
      <c r="I335" s="171">
        <f>+INDEX('Budget révisé'!$A$2:$AO$500,MATCH($A335,'Budget révisé'!$A$2:$A$500,0),MATCH(I$2,'Budget révisé'!$A$2:$AO$2,0))</f>
        <v>8998.9226888888879</v>
      </c>
      <c r="J335" s="304"/>
      <c r="K335" s="302"/>
      <c r="L335" s="399">
        <f>SUMIFS(BV_Data_An_Cour!$P:$P,BV_Data_An_Cour!$V:$V,$B335,BV_Data_An_Cour!$W:$W,$C335,BV_Data_An_Cour!$X:$X,$L$2)</f>
        <v>0</v>
      </c>
      <c r="M335" s="304"/>
      <c r="N335" s="305">
        <f t="shared" si="185"/>
        <v>-8998.9226888888879</v>
      </c>
      <c r="O335" s="304"/>
      <c r="P335" s="302"/>
      <c r="Q335" s="399">
        <f>SUMIFS(BV_Data_An_Prec!$O:$O,BV_Data_An_Prec!$U:$U,$B335,BV_Data_An_Prec!$V:$V,$C335,BV_Data_An_Prec!$W:$W,$L$2)</f>
        <v>8580</v>
      </c>
      <c r="R335" s="304"/>
      <c r="S335" s="196">
        <f t="shared" si="182"/>
        <v>-8580</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79.371050795832929</v>
      </c>
      <c r="G337" s="296"/>
      <c r="H337" s="172"/>
      <c r="I337" s="173">
        <f>+INDEX('Budget révisé'!$A$2:$AO$500,MATCH($A337,'Budget révisé'!$A$2:$A$500,0),MATCH(I$2,'Budget révisé'!$A$2:$AO$2,0))</f>
        <v>79.371050795832929</v>
      </c>
      <c r="J337" s="297"/>
      <c r="K337" s="172"/>
      <c r="L337" s="174">
        <f>SUMIFS(BV_Data_An_Cour!$P:$P,BV_Data_An_Cour!$V:$V,$B337,BV_Data_An_Cour!$W:$W,$C337,BV_Data_An_Cour!$X:$X,$L$2)</f>
        <v>0</v>
      </c>
      <c r="M337" s="297"/>
      <c r="N337" s="298">
        <f t="shared" si="185"/>
        <v>-79.371050795832929</v>
      </c>
      <c r="O337" s="297"/>
      <c r="P337" s="172"/>
      <c r="Q337" s="174">
        <f>SUMIFS(BV_Data_An_Prec!$O:$O,BV_Data_An_Prec!$U:$U,$B337,BV_Data_An_Prec!$V:$V,$C337,BV_Data_An_Prec!$W:$W,$L$2)</f>
        <v>16.23</v>
      </c>
      <c r="R337" s="297"/>
      <c r="S337" s="193">
        <f t="shared" si="182"/>
        <v>-16.23</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42.175689904034691</v>
      </c>
      <c r="G338" s="296"/>
      <c r="H338" s="172"/>
      <c r="I338" s="173">
        <f>+INDEX('Budget révisé'!$A$2:$AO$500,MATCH($A338,'Budget révisé'!$A$2:$A$500,0),MATCH(I$2,'Budget révisé'!$A$2:$AO$2,0))</f>
        <v>42.175689904034691</v>
      </c>
      <c r="J338" s="297"/>
      <c r="K338" s="172"/>
      <c r="L338" s="174">
        <f>SUMIFS(BV_Data_An_Cour!$P:$P,BV_Data_An_Cour!$V:$V,$B338,BV_Data_An_Cour!$W:$W,$C338,BV_Data_An_Cour!$X:$X,$L$2)</f>
        <v>0</v>
      </c>
      <c r="M338" s="297"/>
      <c r="N338" s="298">
        <f t="shared" si="185"/>
        <v>-42.175689904034691</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274.33</v>
      </c>
      <c r="R339" s="297"/>
      <c r="S339" s="193">
        <f t="shared" si="182"/>
        <v>-274.33</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96.47</v>
      </c>
      <c r="R340" s="297"/>
      <c r="S340" s="193">
        <f t="shared" si="182"/>
        <v>-96.47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66.66</v>
      </c>
      <c r="R341" s="297"/>
      <c r="S341" s="193">
        <f t="shared" si="182"/>
        <v>-66.66</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587.58000000000004</v>
      </c>
      <c r="R342" s="297"/>
      <c r="S342" s="193">
        <f t="shared" si="182"/>
        <v>-587.58000000000004</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22.14</v>
      </c>
      <c r="R343" s="297"/>
      <c r="S343" s="193">
        <f t="shared" ref="S343:S347" si="189">L343-Q343</f>
        <v>-22.14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3445.8189640982819</v>
      </c>
      <c r="G344" s="296"/>
      <c r="H344" s="172"/>
      <c r="I344" s="173">
        <f>+INDEX('Budget révisé'!$A$2:$AO$500,MATCH($A344,'Budget révisé'!$A$2:$A$500,0),MATCH(I$2,'Budget révisé'!$A$2:$AO$2,0))</f>
        <v>3445.8189640982819</v>
      </c>
      <c r="J344" s="297"/>
      <c r="K344" s="172"/>
      <c r="L344" s="961">
        <f>AF447*W7</f>
        <v>0</v>
      </c>
      <c r="M344" s="297"/>
      <c r="N344" s="298">
        <f t="shared" si="188"/>
        <v>-3445.8189640982819</v>
      </c>
      <c r="O344" s="297"/>
      <c r="P344" s="172"/>
      <c r="Q344" s="275">
        <f>AL447*W7</f>
        <v>2286.7860000000001</v>
      </c>
      <c r="R344" s="297"/>
      <c r="S344" s="193">
        <f t="shared" si="189"/>
        <v>-2286.7860000000001</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0.15835399265620353</v>
      </c>
      <c r="F348" s="41">
        <f>+SUM(F330:F347)</f>
        <v>24465.558049582854</v>
      </c>
      <c r="G348" s="42" t="s">
        <v>111</v>
      </c>
      <c r="H348" s="40">
        <f>I348/I$313</f>
        <v>0.15835399265620353</v>
      </c>
      <c r="I348" s="41">
        <f>+SUM(I330:I347)</f>
        <v>24465.558049582854</v>
      </c>
      <c r="J348" s="42" t="s">
        <v>111</v>
      </c>
      <c r="K348" s="40" t="e">
        <f>L348/L$313</f>
        <v>#DIV/0!</v>
      </c>
      <c r="L348" s="41">
        <f>+SUM(L330:L347)</f>
        <v>0</v>
      </c>
      <c r="M348" s="44"/>
      <c r="N348" s="41">
        <f>+SUM(N330:N347)</f>
        <v>-24465.558049582854</v>
      </c>
      <c r="O348" s="42" t="s">
        <v>111</v>
      </c>
      <c r="P348" s="40">
        <f>Q348/Q$313</f>
        <v>0.16790691681905084</v>
      </c>
      <c r="Q348" s="41">
        <f>+SUM(Q330:Q347)</f>
        <v>23028.076000000001</v>
      </c>
      <c r="R348" s="44"/>
      <c r="S348" s="310">
        <f>+SUM(S330:S347)</f>
        <v>-23028.076000000001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0.4363078514825236</v>
      </c>
      <c r="F350" s="41">
        <f>F329+F348</f>
        <v>67409.194355519023</v>
      </c>
      <c r="G350" s="42" t="s">
        <v>111</v>
      </c>
      <c r="H350" s="40">
        <f>I350/I$313</f>
        <v>0.4363078514825236</v>
      </c>
      <c r="I350" s="41">
        <f>I329+I348</f>
        <v>67409.194355519023</v>
      </c>
      <c r="J350" s="42" t="s">
        <v>111</v>
      </c>
      <c r="K350" s="40" t="e">
        <f>L350/L$313</f>
        <v>#DIV/0!</v>
      </c>
      <c r="L350" s="41">
        <f>L329+L348</f>
        <v>0</v>
      </c>
      <c r="M350" s="44"/>
      <c r="N350" s="46">
        <f t="shared" ref="N350:N351" si="190">L350-I350</f>
        <v>-67409.194355519023</v>
      </c>
      <c r="O350" s="42" t="s">
        <v>111</v>
      </c>
      <c r="P350" s="40">
        <f>Q350/Q$313</f>
        <v>0.48410592158667853</v>
      </c>
      <c r="Q350" s="41">
        <f>Q329+Q348</f>
        <v>66394.09599999999</v>
      </c>
      <c r="R350" s="44"/>
      <c r="S350" s="293">
        <f>L350-Q350</f>
        <v>-66394.09599999999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87089.960602317238</v>
      </c>
      <c r="G352" s="338"/>
      <c r="H352" s="336"/>
      <c r="I352" s="337">
        <f>I313-I350</f>
        <v>87089.960602317238</v>
      </c>
      <c r="J352" s="339"/>
      <c r="K352" s="340"/>
      <c r="L352" s="337">
        <f>L313-L350</f>
        <v>0</v>
      </c>
      <c r="M352" s="339"/>
      <c r="N352" s="337">
        <f>L352-I352</f>
        <v>-87089.960602317238</v>
      </c>
      <c r="O352" s="339"/>
      <c r="P352" s="340"/>
      <c r="Q352" s="337">
        <f>Q313-Q350</f>
        <v>70753.774000000034</v>
      </c>
      <c r="R352" s="339"/>
      <c r="S352" s="341">
        <f>L352-Q352</f>
        <v>-70753.774000000034</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Novembre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8" t="s">
        <v>77</v>
      </c>
      <c r="E357" s="1419"/>
      <c r="F357" s="1420"/>
      <c r="G357" s="1421" t="s">
        <v>145</v>
      </c>
      <c r="H357" s="1419"/>
      <c r="I357" s="1420"/>
      <c r="J357" s="1421" t="s">
        <v>79</v>
      </c>
      <c r="K357" s="1419"/>
      <c r="L357" s="1420"/>
      <c r="M357" s="1421" t="s">
        <v>80</v>
      </c>
      <c r="N357" s="1420"/>
      <c r="O357" s="1418" t="s">
        <v>81</v>
      </c>
      <c r="P357" s="1419"/>
      <c r="Q357" s="1420"/>
      <c r="R357" s="1421" t="s">
        <v>82</v>
      </c>
      <c r="S357" s="1422"/>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7" t="s">
        <v>3301</v>
      </c>
      <c r="E401" s="1325" t="s">
        <v>3343</v>
      </c>
      <c r="F401" s="1326"/>
      <c r="G401" s="1326"/>
      <c r="H401" s="1326"/>
      <c r="I401" s="1326"/>
      <c r="V401" s="1304" t="str">
        <f>C1</f>
        <v>Volks</v>
      </c>
      <c r="W401" s="21"/>
      <c r="X401" s="21"/>
      <c r="Y401" s="21"/>
      <c r="Z401" s="18"/>
      <c r="AA401" s="18"/>
      <c r="AB401" s="21"/>
      <c r="AC401" s="21"/>
      <c r="AD401" s="18"/>
      <c r="AE401" s="1305" t="s">
        <v>193</v>
      </c>
      <c r="AF401" s="21"/>
      <c r="AG401" s="21"/>
      <c r="AH401" s="18"/>
      <c r="AI401" s="18"/>
      <c r="AJ401" s="80"/>
      <c r="AK401" s="19"/>
      <c r="AL401" s="18"/>
      <c r="AM401" s="21"/>
      <c r="AN401" s="21"/>
      <c r="AO401" s="1306" t="str">
        <f>$S$1</f>
        <v>Réalisé, Novembre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7"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7" t="s">
        <v>3301</v>
      </c>
      <c r="V403" s="434"/>
      <c r="W403" s="435"/>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7"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7" t="s">
        <v>3301</v>
      </c>
      <c r="V405" s="300" t="s">
        <v>88</v>
      </c>
      <c r="W405" s="439"/>
      <c r="X405" s="439"/>
      <c r="Y405" s="439"/>
      <c r="Z405" s="440">
        <f>F5+F93+E193+E249+D313+D361</f>
        <v>4883911.9567251373</v>
      </c>
      <c r="AA405" s="439"/>
      <c r="AB405" s="439"/>
      <c r="AC405" s="440">
        <f>I5+I93+H193+H249+G313+G361</f>
        <v>4883911.9567251373</v>
      </c>
      <c r="AD405" s="441"/>
      <c r="AE405" s="442"/>
      <c r="AF405" s="442">
        <f>L5+L93+K193+K249+J313+J361</f>
        <v>0</v>
      </c>
      <c r="AG405" s="441"/>
      <c r="AH405" s="442"/>
      <c r="AI405" s="443"/>
      <c r="AJ405" s="441"/>
      <c r="AK405" s="442"/>
      <c r="AL405" s="442">
        <f>Q5+Q93+P193+P249+O313+O361</f>
        <v>6632511.879999999</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7" t="s">
        <v>3301</v>
      </c>
      <c r="V406" s="446" t="s">
        <v>205</v>
      </c>
      <c r="W406" s="81"/>
      <c r="X406" s="81"/>
      <c r="Y406" s="81"/>
      <c r="Z406" s="82">
        <f>F27+F107+F193+F249+F313+F361</f>
        <v>773093.32555774378</v>
      </c>
      <c r="AA406" s="81"/>
      <c r="AB406" s="81"/>
      <c r="AC406" s="82">
        <f>I27+I107+I193+I249+I313+I361</f>
        <v>773093.32555774378</v>
      </c>
      <c r="AD406" s="83"/>
      <c r="AE406" s="84"/>
      <c r="AF406" s="84">
        <f>L27+L107+L193+L249+L313+L361</f>
        <v>0</v>
      </c>
      <c r="AG406" s="83"/>
      <c r="AH406" s="84">
        <f>AF406-AC406</f>
        <v>-773093.32555774378</v>
      </c>
      <c r="AI406" s="85">
        <f>AH406/AC406</f>
        <v>-1</v>
      </c>
      <c r="AJ406" s="83"/>
      <c r="AK406" s="84"/>
      <c r="AL406" s="84">
        <f>Q27+Q107+Q193+Q249+Q313+Q361</f>
        <v>875030.66999999958</v>
      </c>
      <c r="AM406" s="86"/>
      <c r="AN406" s="84">
        <f>AF406-AL406</f>
        <v>-875030.66999999958</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7"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7" t="s">
        <v>3301</v>
      </c>
      <c r="V408" s="299" t="s">
        <v>103</v>
      </c>
      <c r="W408" s="454" t="s">
        <v>207</v>
      </c>
      <c r="X408" s="449"/>
      <c r="Y408" s="455">
        <f t="shared" ref="Y408:Y414" si="197">Z408/(D$13+D$96)</f>
        <v>628.31344977384799</v>
      </c>
      <c r="Z408" s="87">
        <f t="shared" ref="Z408:Z414" si="198">+SUMIF($C:$C,$V408,F:F)</f>
        <v>61290.224156591386</v>
      </c>
      <c r="AA408" s="449"/>
      <c r="AB408" s="455">
        <f t="shared" ref="AB408:AB414" si="199">IF(AC408=0,0,AC408/(G$13+G$96))</f>
        <v>628.31344977384799</v>
      </c>
      <c r="AC408" s="87">
        <f t="shared" ref="AC408:AC414" si="200">+SUMIF($C:$C,$V408,I:I)</f>
        <v>61290.224156591386</v>
      </c>
      <c r="AD408" s="456"/>
      <c r="AE408" s="455">
        <f t="shared" ref="AE408:AE413" si="201">IF(AF408=0,0,AF408/(J$13+J$96))</f>
        <v>0</v>
      </c>
      <c r="AF408" s="87">
        <f t="shared" ref="AF408:AF414" si="202">+SUMIF($C:$C,$V408,L:L)</f>
        <v>0</v>
      </c>
      <c r="AG408" s="450">
        <f t="shared" ref="AG408:AH408" si="203">AE408-AB408</f>
        <v>-628.31344977384799</v>
      </c>
      <c r="AH408" s="451">
        <f t="shared" si="203"/>
        <v>-61290.224156591386</v>
      </c>
      <c r="AI408" s="452">
        <f>IF(AC408=0,0,AH408/AC408)</f>
        <v>-1</v>
      </c>
      <c r="AJ408" s="456"/>
      <c r="AK408" s="451">
        <f t="shared" ref="AK408:AK414" si="204">AL408/(O$13+O$96)</f>
        <v>890.89769999999987</v>
      </c>
      <c r="AL408" s="87">
        <f t="shared" ref="AL408:AL414" si="205">+SUMIF($C:$C,$V408,Q:Q)</f>
        <v>89089.76999999999</v>
      </c>
      <c r="AM408" s="453">
        <f t="shared" ref="AM408:AM413" si="206">AE408-Y408</f>
        <v>-628.31344977384799</v>
      </c>
      <c r="AN408" s="451">
        <f t="shared" ref="AN408:AN413" si="207">AF408-AL408</f>
        <v>-89089.76999999999</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7" t="s">
        <v>3301</v>
      </c>
      <c r="V409" s="300" t="s">
        <v>104</v>
      </c>
      <c r="W409" s="457" t="s">
        <v>208</v>
      </c>
      <c r="X409" s="439"/>
      <c r="Y409" s="458">
        <f t="shared" si="197"/>
        <v>379.38097289120964</v>
      </c>
      <c r="Z409" s="440">
        <f t="shared" si="198"/>
        <v>37007.555508508201</v>
      </c>
      <c r="AA409" s="439"/>
      <c r="AB409" s="458">
        <f t="shared" si="199"/>
        <v>379.38097289120964</v>
      </c>
      <c r="AC409" s="440">
        <f t="shared" si="200"/>
        <v>37007.555508508201</v>
      </c>
      <c r="AD409" s="459"/>
      <c r="AE409" s="458">
        <f t="shared" si="201"/>
        <v>0</v>
      </c>
      <c r="AF409" s="440">
        <f t="shared" si="202"/>
        <v>0</v>
      </c>
      <c r="AG409" s="441">
        <f t="shared" ref="AG409:AH409" si="208">AE409-AB409</f>
        <v>-379.38097289120964</v>
      </c>
      <c r="AH409" s="442">
        <f t="shared" si="208"/>
        <v>-37007.555508508201</v>
      </c>
      <c r="AI409" s="460">
        <f t="shared" ref="AI409:AI413" si="209">IF(AC409=0,0,AH409/AC409)</f>
        <v>-1</v>
      </c>
      <c r="AJ409" s="459"/>
      <c r="AK409" s="442">
        <f t="shared" si="204"/>
        <v>507.68919999999997</v>
      </c>
      <c r="AL409" s="440">
        <f t="shared" si="205"/>
        <v>50768.92</v>
      </c>
      <c r="AM409" s="444">
        <f t="shared" si="206"/>
        <v>-379.38097289120964</v>
      </c>
      <c r="AN409" s="442">
        <f t="shared" si="207"/>
        <v>-50768.92</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7" t="s">
        <v>3301</v>
      </c>
      <c r="V410" s="299" t="s">
        <v>105</v>
      </c>
      <c r="W410" s="454" t="s">
        <v>209</v>
      </c>
      <c r="X410" s="449"/>
      <c r="Y410" s="455">
        <f t="shared" si="197"/>
        <v>142.31980980199268</v>
      </c>
      <c r="Z410" s="87">
        <f t="shared" si="198"/>
        <v>13882.900402382329</v>
      </c>
      <c r="AA410" s="449"/>
      <c r="AB410" s="455">
        <f t="shared" si="199"/>
        <v>142.31980980199268</v>
      </c>
      <c r="AC410" s="87">
        <f t="shared" si="200"/>
        <v>13882.900402382329</v>
      </c>
      <c r="AD410" s="456"/>
      <c r="AE410" s="455">
        <f t="shared" si="201"/>
        <v>0</v>
      </c>
      <c r="AF410" s="248">
        <f t="shared" si="202"/>
        <v>0</v>
      </c>
      <c r="AG410" s="450">
        <f t="shared" ref="AG410:AH410" si="211">AE410-AB410</f>
        <v>-142.31980980199268</v>
      </c>
      <c r="AH410" s="451">
        <f t="shared" si="211"/>
        <v>-13882.900402382329</v>
      </c>
      <c r="AI410" s="452">
        <f t="shared" si="209"/>
        <v>-1</v>
      </c>
      <c r="AJ410" s="456"/>
      <c r="AK410" s="451">
        <f t="shared" si="204"/>
        <v>147.8296</v>
      </c>
      <c r="AL410" s="87">
        <f t="shared" si="205"/>
        <v>14782.960000000001</v>
      </c>
      <c r="AM410" s="453">
        <f t="shared" si="206"/>
        <v>-142.31980980199268</v>
      </c>
      <c r="AN410" s="451">
        <f t="shared" si="207"/>
        <v>-14782.960000000001</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7" t="s">
        <v>3301</v>
      </c>
      <c r="V411" s="299" t="s">
        <v>106</v>
      </c>
      <c r="W411" s="454" t="s">
        <v>210</v>
      </c>
      <c r="X411" s="449"/>
      <c r="Y411" s="455">
        <f t="shared" si="197"/>
        <v>17.276053042083909</v>
      </c>
      <c r="Z411" s="87">
        <f t="shared" si="198"/>
        <v>1685.2307775229124</v>
      </c>
      <c r="AA411" s="449"/>
      <c r="AB411" s="455">
        <f t="shared" si="199"/>
        <v>17.276053042083909</v>
      </c>
      <c r="AC411" s="87">
        <f t="shared" si="200"/>
        <v>1685.2307775229124</v>
      </c>
      <c r="AD411" s="456"/>
      <c r="AE411" s="455">
        <f t="shared" si="201"/>
        <v>0</v>
      </c>
      <c r="AF411" s="248">
        <f t="shared" si="202"/>
        <v>0</v>
      </c>
      <c r="AG411" s="450">
        <f t="shared" ref="AG411:AH411" si="212">AE411-AB411</f>
        <v>-17.276053042083909</v>
      </c>
      <c r="AH411" s="451">
        <f t="shared" si="212"/>
        <v>-1685.2307775229124</v>
      </c>
      <c r="AI411" s="452">
        <f t="shared" si="209"/>
        <v>-1</v>
      </c>
      <c r="AJ411" s="456"/>
      <c r="AK411" s="451">
        <f t="shared" si="204"/>
        <v>109.79770000000001</v>
      </c>
      <c r="AL411" s="87">
        <f t="shared" si="205"/>
        <v>10979.77</v>
      </c>
      <c r="AM411" s="453">
        <f t="shared" si="206"/>
        <v>-17.276053042083909</v>
      </c>
      <c r="AN411" s="451">
        <f t="shared" si="207"/>
        <v>-10979.77</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7" t="s">
        <v>3301</v>
      </c>
      <c r="V412" s="300" t="s">
        <v>107</v>
      </c>
      <c r="W412" s="457"/>
      <c r="X412" s="439"/>
      <c r="Y412" s="458">
        <f t="shared" si="197"/>
        <v>44.464441058978878</v>
      </c>
      <c r="Z412" s="440">
        <f t="shared" si="198"/>
        <v>4337.3821784067632</v>
      </c>
      <c r="AA412" s="439"/>
      <c r="AB412" s="458">
        <f t="shared" si="199"/>
        <v>44.464441058978878</v>
      </c>
      <c r="AC412" s="440">
        <f t="shared" si="200"/>
        <v>4337.3821784067632</v>
      </c>
      <c r="AD412" s="459"/>
      <c r="AE412" s="458">
        <f t="shared" si="201"/>
        <v>0</v>
      </c>
      <c r="AF412" s="1007">
        <f t="shared" si="202"/>
        <v>0</v>
      </c>
      <c r="AG412" s="441">
        <f t="shared" ref="AG412:AH412" si="213">AE412-AB412</f>
        <v>-44.464441058978878</v>
      </c>
      <c r="AH412" s="442">
        <f t="shared" si="213"/>
        <v>-4337.3821784067632</v>
      </c>
      <c r="AI412" s="460">
        <f t="shared" si="209"/>
        <v>-1</v>
      </c>
      <c r="AJ412" s="459"/>
      <c r="AK412" s="442">
        <f t="shared" si="204"/>
        <v>102.5748</v>
      </c>
      <c r="AL412" s="440">
        <f t="shared" si="205"/>
        <v>10257.48</v>
      </c>
      <c r="AM412" s="444">
        <f t="shared" si="206"/>
        <v>-44.464441058978878</v>
      </c>
      <c r="AN412" s="442">
        <f t="shared" si="207"/>
        <v>-10257.48</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7" t="s">
        <v>3301</v>
      </c>
      <c r="V413" s="299" t="s">
        <v>108</v>
      </c>
      <c r="W413" s="454" t="s">
        <v>211</v>
      </c>
      <c r="X413" s="452"/>
      <c r="Y413" s="455">
        <f t="shared" si="197"/>
        <v>152.09286792398078</v>
      </c>
      <c r="Z413" s="87">
        <f t="shared" si="198"/>
        <v>14836.234957304947</v>
      </c>
      <c r="AA413" s="452"/>
      <c r="AB413" s="455">
        <f t="shared" si="199"/>
        <v>152.09286792398078</v>
      </c>
      <c r="AC413" s="87">
        <f t="shared" si="200"/>
        <v>14836.234957304947</v>
      </c>
      <c r="AD413" s="456"/>
      <c r="AE413" s="455">
        <f t="shared" si="201"/>
        <v>0</v>
      </c>
      <c r="AF413" s="248">
        <f t="shared" si="202"/>
        <v>0</v>
      </c>
      <c r="AG413" s="450">
        <f t="shared" ref="AG413:AH414" si="214">AE413-AB413</f>
        <v>-152.09286792398078</v>
      </c>
      <c r="AH413" s="451">
        <f t="shared" si="214"/>
        <v>-14836.234957304947</v>
      </c>
      <c r="AI413" s="452">
        <f t="shared" si="209"/>
        <v>-1</v>
      </c>
      <c r="AJ413" s="456"/>
      <c r="AK413" s="451">
        <f t="shared" si="204"/>
        <v>137.15179999999998</v>
      </c>
      <c r="AL413" s="87">
        <f t="shared" si="205"/>
        <v>13715.179999999998</v>
      </c>
      <c r="AM413" s="453">
        <f t="shared" si="206"/>
        <v>-152.09286792398078</v>
      </c>
      <c r="AN413" s="451">
        <f t="shared" si="207"/>
        <v>-13715.179999999998</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7" t="s">
        <v>3301</v>
      </c>
      <c r="D414"/>
      <c r="E414"/>
      <c r="F414"/>
      <c r="G414"/>
      <c r="H414"/>
      <c r="I414"/>
      <c r="J414"/>
      <c r="K414"/>
      <c r="L414"/>
      <c r="M414"/>
      <c r="N414"/>
      <c r="O414"/>
      <c r="P414"/>
      <c r="Q414"/>
      <c r="R414"/>
      <c r="S414"/>
      <c r="V414" s="299" t="s">
        <v>109</v>
      </c>
      <c r="W414" s="454" t="s">
        <v>212</v>
      </c>
      <c r="X414" s="449"/>
      <c r="Y414" s="455">
        <f t="shared" si="197"/>
        <v>63.022566358858178</v>
      </c>
      <c r="Z414" s="87">
        <f t="shared" si="198"/>
        <v>6147.6755279524614</v>
      </c>
      <c r="AA414" s="449"/>
      <c r="AB414" s="455">
        <f t="shared" si="199"/>
        <v>63.022566358858178</v>
      </c>
      <c r="AC414" s="87">
        <f t="shared" si="200"/>
        <v>6147.6755279524614</v>
      </c>
      <c r="AD414" s="456"/>
      <c r="AE414" s="455">
        <f>IF(AF414=0,0,AF414/(J$13+J$13))</f>
        <v>0</v>
      </c>
      <c r="AF414" s="87">
        <f t="shared" si="202"/>
        <v>0</v>
      </c>
      <c r="AG414" s="450">
        <f t="shared" si="214"/>
        <v>-63.022566358858178</v>
      </c>
      <c r="AH414" s="451">
        <f t="shared" si="214"/>
        <v>-6147.6755279524614</v>
      </c>
      <c r="AI414" s="452">
        <f t="shared" ref="AI414" si="215">IF(AC414=0,0,AH414/AC414)</f>
        <v>-1</v>
      </c>
      <c r="AJ414" s="456"/>
      <c r="AK414" s="451">
        <f t="shared" si="204"/>
        <v>122.6541</v>
      </c>
      <c r="AL414" s="87">
        <f t="shared" si="205"/>
        <v>12265.41</v>
      </c>
      <c r="AM414" s="453">
        <f t="shared" ref="AM414" si="216">AE414-Y414</f>
        <v>-63.022566358858178</v>
      </c>
      <c r="AN414" s="451">
        <f t="shared" ref="AN414" si="217">AF414-AL414</f>
        <v>-12265.41</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7"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7"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7"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7" t="s">
        <v>3301</v>
      </c>
      <c r="V418" s="461" t="s">
        <v>110</v>
      </c>
      <c r="W418" s="88"/>
      <c r="X418" s="89">
        <f>Z418/Z406</f>
        <v>0.18003932889765048</v>
      </c>
      <c r="Y418" s="88"/>
      <c r="Z418" s="90">
        <f>SUM(Z408:Z417)</f>
        <v>139187.20350866902</v>
      </c>
      <c r="AA418" s="89">
        <f>AC418/AC406</f>
        <v>0.18003932889765048</v>
      </c>
      <c r="AB418" s="88"/>
      <c r="AC418" s="90">
        <f>SUM(AC408:AC417)</f>
        <v>139187.20350866902</v>
      </c>
      <c r="AD418" s="91" t="e">
        <f>AF418/AF406</f>
        <v>#DIV/0!</v>
      </c>
      <c r="AE418" s="88"/>
      <c r="AF418" s="90">
        <f>SUM(AF408:AF417)</f>
        <v>0</v>
      </c>
      <c r="AG418" s="92"/>
      <c r="AH418" s="93">
        <f>AF418-AC418</f>
        <v>-139187.20350866902</v>
      </c>
      <c r="AI418" s="89">
        <f>AH418/AC418</f>
        <v>-1</v>
      </c>
      <c r="AJ418" s="91">
        <f>IF($AL$406=0,0,AL418/$AL$406)</f>
        <v>0.23068847403943005</v>
      </c>
      <c r="AK418" s="88"/>
      <c r="AL418" s="90">
        <f>SUM(AL408:AL417)</f>
        <v>201859.49</v>
      </c>
      <c r="AM418" s="94"/>
      <c r="AN418" s="93">
        <f t="shared" ref="AN418:AN423" si="229">AF418-AL418</f>
        <v>-201859.49</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7" t="s">
        <v>3301</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0</v>
      </c>
      <c r="AG419" s="450"/>
      <c r="AH419" s="451">
        <f t="shared" ref="AH419:AH426" si="230">AF419-AC419</f>
        <v>-15497.547546666668</v>
      </c>
      <c r="AI419" s="452">
        <f>IF(AC419=0,0,AH419/AC419)</f>
        <v>-1</v>
      </c>
      <c r="AJ419" s="456"/>
      <c r="AK419" s="449"/>
      <c r="AL419" s="87">
        <f>SUMIFS(BV_Data_An_Prec!$O:$O,BV_Data_An_Prec!$V:$V,$V419)</f>
        <v>11182.41</v>
      </c>
      <c r="AM419" s="453"/>
      <c r="AN419" s="451">
        <f t="shared" si="229"/>
        <v>-11182.41</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7" t="s">
        <v>3301</v>
      </c>
      <c r="V420" s="299" t="s">
        <v>112</v>
      </c>
      <c r="W420" s="454" t="s">
        <v>215</v>
      </c>
      <c r="X420" s="449"/>
      <c r="Y420" s="449"/>
      <c r="Z420" s="87">
        <f>+SUMIF($C:$C,$V420,F:F)</f>
        <v>38467.750957854405</v>
      </c>
      <c r="AA420" s="449"/>
      <c r="AB420" s="449"/>
      <c r="AC420" s="87">
        <f>+SUMIF($C:$C,$V420,I:I)</f>
        <v>38467.750957854405</v>
      </c>
      <c r="AD420" s="456"/>
      <c r="AE420" s="455"/>
      <c r="AF420" s="87">
        <f>+SUMIF($C:$C,$V420,L:L)</f>
        <v>0</v>
      </c>
      <c r="AG420" s="450"/>
      <c r="AH420" s="451">
        <f t="shared" si="230"/>
        <v>-38467.750957854405</v>
      </c>
      <c r="AI420" s="452">
        <f t="shared" ref="AI420:AI431" si="232">IF(AC420=0,0,AH420/AC420)</f>
        <v>-1</v>
      </c>
      <c r="AJ420" s="456"/>
      <c r="AK420" s="449"/>
      <c r="AL420" s="87">
        <f>+SUMIF($C:$C,$V420,Q:Q)</f>
        <v>40718.9</v>
      </c>
      <c r="AM420" s="453"/>
      <c r="AN420" s="451">
        <f t="shared" si="229"/>
        <v>-40718.9</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7" t="s">
        <v>3301</v>
      </c>
      <c r="V421" s="300" t="s">
        <v>113</v>
      </c>
      <c r="W421" s="457" t="s">
        <v>216</v>
      </c>
      <c r="X421" s="439"/>
      <c r="Y421" s="439"/>
      <c r="Z421" s="440">
        <f>+SUMIF($C:$C,$V421,F:F)</f>
        <v>26732.282612567054</v>
      </c>
      <c r="AA421" s="439"/>
      <c r="AB421" s="439"/>
      <c r="AC421" s="440">
        <f>+SUMIF($C:$C,$V421,I:I)</f>
        <v>26732.282612567054</v>
      </c>
      <c r="AD421" s="459"/>
      <c r="AE421" s="458"/>
      <c r="AF421" s="440">
        <f>+SUMIF($C:$C,$V421,L:L)</f>
        <v>0</v>
      </c>
      <c r="AG421" s="441"/>
      <c r="AH421" s="442">
        <f t="shared" si="230"/>
        <v>-26732.282612567054</v>
      </c>
      <c r="AI421" s="460">
        <f t="shared" si="232"/>
        <v>-1</v>
      </c>
      <c r="AJ421" s="459"/>
      <c r="AK421" s="439"/>
      <c r="AL421" s="440">
        <f>+SUMIF($C:$C,$V421,Q:Q)</f>
        <v>25680.980000000003</v>
      </c>
      <c r="AM421" s="444"/>
      <c r="AN421" s="442">
        <f t="shared" si="229"/>
        <v>-25680.980000000003</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7" t="s">
        <v>3301</v>
      </c>
      <c r="V422" s="274" t="s">
        <v>114</v>
      </c>
      <c r="W422" s="454" t="s">
        <v>217</v>
      </c>
      <c r="X422" s="449"/>
      <c r="Y422" s="449"/>
      <c r="Z422" s="87">
        <f>+SUMIF($C:$C,$V422,F:F)</f>
        <v>56911.548926896547</v>
      </c>
      <c r="AA422" s="449"/>
      <c r="AB422" s="449"/>
      <c r="AC422" s="87">
        <f>+SUMIF($C:$C,$V422,I:I)</f>
        <v>56911.548926896547</v>
      </c>
      <c r="AD422" s="456"/>
      <c r="AE422" s="455"/>
      <c r="AF422" s="248">
        <f>+SUMIF($C:$C,$V422,L:L)</f>
        <v>0</v>
      </c>
      <c r="AG422" s="450"/>
      <c r="AH422" s="451">
        <f t="shared" si="230"/>
        <v>-56911.548926896547</v>
      </c>
      <c r="AI422" s="452">
        <f t="shared" si="232"/>
        <v>-1</v>
      </c>
      <c r="AJ422" s="456"/>
      <c r="AK422" s="449"/>
      <c r="AL422" s="87">
        <f>+SUMIF($C:$C,$V422,Q:Q)</f>
        <v>68063.75</v>
      </c>
      <c r="AM422" s="453"/>
      <c r="AN422" s="451">
        <f t="shared" si="229"/>
        <v>-68063.75</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7" t="s">
        <v>3301</v>
      </c>
      <c r="V423" s="274" t="s">
        <v>115</v>
      </c>
      <c r="W423" s="454" t="s">
        <v>218</v>
      </c>
      <c r="X423" s="449"/>
      <c r="Y423" s="449"/>
      <c r="Z423" s="87">
        <f>+SUMIF($C:$C,$V423,F:F)</f>
        <v>47596.913203579163</v>
      </c>
      <c r="AA423" s="449"/>
      <c r="AB423" s="449"/>
      <c r="AC423" s="87">
        <f>+SUMIF($C:$C,$V423,I:I)</f>
        <v>47596.913203579163</v>
      </c>
      <c r="AD423" s="456"/>
      <c r="AE423" s="455"/>
      <c r="AF423" s="248">
        <f>+SUMIF($C:$C,$V423,L:L)</f>
        <v>0</v>
      </c>
      <c r="AG423" s="450"/>
      <c r="AH423" s="451">
        <f t="shared" si="230"/>
        <v>-47596.913203579163</v>
      </c>
      <c r="AI423" s="452">
        <f t="shared" si="232"/>
        <v>-1</v>
      </c>
      <c r="AJ423" s="456"/>
      <c r="AK423" s="449"/>
      <c r="AL423" s="87">
        <f>+SUMIF($C:$C,$V423,Q:Q)</f>
        <v>31363.85</v>
      </c>
      <c r="AM423" s="453"/>
      <c r="AN423" s="451">
        <f t="shared" si="229"/>
        <v>-31363.85</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7"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7"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7"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7" t="s">
        <v>3301</v>
      </c>
      <c r="V427" s="276" t="s">
        <v>116</v>
      </c>
      <c r="W427" s="457" t="s">
        <v>219</v>
      </c>
      <c r="X427" s="439"/>
      <c r="Y427" s="439"/>
      <c r="Z427" s="440">
        <f>+SUMIF($C:$C,$V427,F:F)</f>
        <v>40824.908683481714</v>
      </c>
      <c r="AA427" s="439"/>
      <c r="AB427" s="439"/>
      <c r="AC427" s="440">
        <f>+SUMIF($C:$C,$V427,I:I)</f>
        <v>40824.908683481714</v>
      </c>
      <c r="AD427" s="459"/>
      <c r="AE427" s="458"/>
      <c r="AF427" s="1007">
        <f>+SUMIF($C:$C,$V427,L:L)</f>
        <v>0</v>
      </c>
      <c r="AG427" s="441"/>
      <c r="AH427" s="442">
        <f t="shared" ref="AH427:AH431" si="236">AF427-AC427</f>
        <v>-40824.908683481714</v>
      </c>
      <c r="AI427" s="460">
        <f t="shared" si="232"/>
        <v>-1</v>
      </c>
      <c r="AJ427" s="459"/>
      <c r="AK427" s="439"/>
      <c r="AL427" s="440">
        <f>+SUMIF($C:$C,$V427,Q:Q)</f>
        <v>42344.29</v>
      </c>
      <c r="AM427" s="444"/>
      <c r="AN427" s="442">
        <f t="shared" ref="AN427:AN430" si="237">AF427-AL427</f>
        <v>-42344.29</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7" t="s">
        <v>3301</v>
      </c>
      <c r="V428" s="274" t="s">
        <v>117</v>
      </c>
      <c r="W428" s="454" t="s">
        <v>220</v>
      </c>
      <c r="X428" s="449"/>
      <c r="Y428" s="449"/>
      <c r="Z428" s="87">
        <f>+SUMIF($C:$C,$V428,F:F)</f>
        <v>36562.890513091668</v>
      </c>
      <c r="AA428" s="449"/>
      <c r="AB428" s="449"/>
      <c r="AC428" s="87">
        <f>+SUMIF($C:$C,$V428,I:I)</f>
        <v>36562.890513091668</v>
      </c>
      <c r="AD428" s="456"/>
      <c r="AE428" s="455"/>
      <c r="AF428" s="248">
        <f>+SUMIF($C:$C,$V428,L:L)</f>
        <v>0</v>
      </c>
      <c r="AG428" s="450"/>
      <c r="AH428" s="451">
        <f t="shared" si="236"/>
        <v>-36562.890513091668</v>
      </c>
      <c r="AI428" s="452">
        <f t="shared" si="232"/>
        <v>-1</v>
      </c>
      <c r="AJ428" s="456"/>
      <c r="AK428" s="449"/>
      <c r="AL428" s="87">
        <f>+SUMIF($C:$C,$V428,Q:Q)</f>
        <v>33433.660000000003</v>
      </c>
      <c r="AM428" s="453"/>
      <c r="AN428" s="451">
        <f t="shared" si="237"/>
        <v>-33433.660000000003</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7" t="s">
        <v>3301</v>
      </c>
      <c r="V429" s="274" t="s">
        <v>118</v>
      </c>
      <c r="W429" s="454" t="s">
        <v>221</v>
      </c>
      <c r="X429" s="449"/>
      <c r="Y429" s="449"/>
      <c r="Z429" s="87">
        <f>+SUMIF($C:$C,$V429,F:F)</f>
        <v>29035.236583925744</v>
      </c>
      <c r="AA429" s="449"/>
      <c r="AB429" s="449"/>
      <c r="AC429" s="87">
        <f>+SUMIF($C:$C,$V429,I:I)</f>
        <v>29035.236583925744</v>
      </c>
      <c r="AD429" s="456"/>
      <c r="AE429" s="455"/>
      <c r="AF429" s="87">
        <f>+SUMIF($C:$C,$V429,L:L)</f>
        <v>0</v>
      </c>
      <c r="AG429" s="450"/>
      <c r="AH429" s="451">
        <f t="shared" si="236"/>
        <v>-29035.236583925744</v>
      </c>
      <c r="AI429" s="452">
        <f t="shared" si="232"/>
        <v>-1</v>
      </c>
      <c r="AJ429" s="456"/>
      <c r="AK429" s="449"/>
      <c r="AL429" s="87">
        <f>+SUMIF($C:$C,$V429,Q:Q)</f>
        <v>26079.45</v>
      </c>
      <c r="AM429" s="453"/>
      <c r="AN429" s="451">
        <f t="shared" si="237"/>
        <v>-26079.45</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7" t="s">
        <v>3301</v>
      </c>
      <c r="V430" s="274" t="s">
        <v>119</v>
      </c>
      <c r="W430" s="454"/>
      <c r="X430" s="449"/>
      <c r="Y430" s="449"/>
      <c r="Z430" s="87">
        <f>+SUMIF($C:$C,$V430,F:F)</f>
        <v>11829.170460117895</v>
      </c>
      <c r="AA430" s="449"/>
      <c r="AB430" s="449"/>
      <c r="AC430" s="87">
        <f>+SUMIF($C:$C,$V430,I:I)</f>
        <v>11829.170460117895</v>
      </c>
      <c r="AD430" s="456"/>
      <c r="AE430" s="455"/>
      <c r="AF430" s="248">
        <f>+SUMIF($C:$C,$V430,L:L)</f>
        <v>0</v>
      </c>
      <c r="AG430" s="450"/>
      <c r="AH430" s="451">
        <f t="shared" si="236"/>
        <v>-11829.170460117895</v>
      </c>
      <c r="AI430" s="97">
        <f t="shared" si="232"/>
        <v>-1</v>
      </c>
      <c r="AJ430" s="456"/>
      <c r="AK430" s="449"/>
      <c r="AL430" s="87">
        <f>+SUMIF($C:$C,$V430,Q:Q)</f>
        <v>9021.27</v>
      </c>
      <c r="AM430" s="453"/>
      <c r="AN430" s="451">
        <f t="shared" si="237"/>
        <v>-9021.27</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7"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7" t="s">
        <v>3301</v>
      </c>
      <c r="V432" s="461" t="s">
        <v>120</v>
      </c>
      <c r="W432" s="88"/>
      <c r="X432" s="89">
        <f>Z432/Z406</f>
        <v>0.39252473078751859</v>
      </c>
      <c r="Y432" s="88"/>
      <c r="Z432" s="90">
        <f>SUM(Z419:Z431)</f>
        <v>303458.24948818085</v>
      </c>
      <c r="AA432" s="89">
        <f>AC432/AC406</f>
        <v>0.39252473078751859</v>
      </c>
      <c r="AB432" s="88"/>
      <c r="AC432" s="90">
        <f>SUM(AC419:AC431)</f>
        <v>303458.24948818085</v>
      </c>
      <c r="AD432" s="91" t="e">
        <f>AF432/AF406</f>
        <v>#DIV/0!</v>
      </c>
      <c r="AE432" s="98"/>
      <c r="AF432" s="90">
        <f>SUM(AF419:AF431)</f>
        <v>0</v>
      </c>
      <c r="AG432" s="99"/>
      <c r="AH432" s="93">
        <f t="shared" ref="AH432:AH446" si="239">AF432-AC432</f>
        <v>-303458.24948818085</v>
      </c>
      <c r="AI432" s="89">
        <f>AH432/AC432</f>
        <v>-1</v>
      </c>
      <c r="AJ432" s="91">
        <f>IF($AL$406=0,0,AL432/$AL$406)</f>
        <v>0.32900396508387553</v>
      </c>
      <c r="AK432" s="88"/>
      <c r="AL432" s="90">
        <f>SUM(AL419:AL431)</f>
        <v>287888.56000000006</v>
      </c>
      <c r="AM432" s="100"/>
      <c r="AN432" s="93">
        <f t="shared" ref="AN432:AN446" si="240">AF432-AL432</f>
        <v>-287888.56000000006</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7"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18586.87</v>
      </c>
      <c r="AM433" s="469"/>
      <c r="AN433" s="467">
        <f t="shared" si="240"/>
        <v>-18586.87</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7" t="s">
        <v>3301</v>
      </c>
      <c r="V434" s="299" t="s">
        <v>122</v>
      </c>
      <c r="W434" s="454" t="s">
        <v>222</v>
      </c>
      <c r="X434" s="449"/>
      <c r="Y434" s="449"/>
      <c r="Z434" s="87">
        <f t="shared" si="241"/>
        <v>8210.6570130502769</v>
      </c>
      <c r="AA434" s="449"/>
      <c r="AB434" s="449"/>
      <c r="AC434" s="87">
        <f t="shared" si="242"/>
        <v>8210.6570130502769</v>
      </c>
      <c r="AD434" s="456"/>
      <c r="AE434" s="455"/>
      <c r="AF434" s="87">
        <f t="shared" si="243"/>
        <v>0</v>
      </c>
      <c r="AG434" s="450"/>
      <c r="AH434" s="451">
        <f t="shared" si="239"/>
        <v>-8210.6570130502769</v>
      </c>
      <c r="AI434" s="452">
        <f t="shared" ref="AI434:AI446" si="246">IF(AC434=0,0,AH434/AC434)</f>
        <v>-1</v>
      </c>
      <c r="AJ434" s="456"/>
      <c r="AK434" s="449"/>
      <c r="AL434" s="87">
        <f t="shared" si="244"/>
        <v>4610.09</v>
      </c>
      <c r="AM434" s="453"/>
      <c r="AN434" s="451">
        <f t="shared" si="240"/>
        <v>-4610.09</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7" t="s">
        <v>3301</v>
      </c>
      <c r="U435" s="1183">
        <f>S435/AC428</f>
        <v>0</v>
      </c>
      <c r="V435" s="300" t="s">
        <v>123</v>
      </c>
      <c r="W435" s="457" t="s">
        <v>223</v>
      </c>
      <c r="X435" s="439"/>
      <c r="Y435" s="439"/>
      <c r="Z435" s="440">
        <f t="shared" si="241"/>
        <v>24003.694444444442</v>
      </c>
      <c r="AA435" s="439"/>
      <c r="AB435" s="439"/>
      <c r="AC435" s="440">
        <f t="shared" si="242"/>
        <v>24003.694444444442</v>
      </c>
      <c r="AD435" s="459"/>
      <c r="AE435" s="458"/>
      <c r="AF435" s="440">
        <f t="shared" si="243"/>
        <v>0</v>
      </c>
      <c r="AG435" s="441"/>
      <c r="AH435" s="442">
        <f t="shared" si="239"/>
        <v>-24003.694444444442</v>
      </c>
      <c r="AI435" s="460">
        <f t="shared" si="246"/>
        <v>-1</v>
      </c>
      <c r="AJ435" s="459"/>
      <c r="AK435" s="439"/>
      <c r="AL435" s="440">
        <f t="shared" si="244"/>
        <v>23199.940000000002</v>
      </c>
      <c r="AM435" s="444"/>
      <c r="AN435" s="442">
        <f t="shared" si="240"/>
        <v>-23199.940000000002</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7"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15689.12</v>
      </c>
      <c r="AM436" s="453"/>
      <c r="AN436" s="451">
        <f t="shared" si="240"/>
        <v>-15689.12</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7"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2154.08</v>
      </c>
      <c r="AM437" s="453"/>
      <c r="AN437" s="451">
        <f t="shared" si="240"/>
        <v>-2154.08</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7" t="s">
        <v>3301</v>
      </c>
      <c r="V438" s="299" t="s">
        <v>126</v>
      </c>
      <c r="W438" s="454" t="s">
        <v>226</v>
      </c>
      <c r="X438" s="449"/>
      <c r="Y438" s="449"/>
      <c r="Z438" s="87">
        <f t="shared" si="241"/>
        <v>27219.629355555553</v>
      </c>
      <c r="AA438" s="449"/>
      <c r="AB438" s="449"/>
      <c r="AC438" s="87">
        <f t="shared" si="242"/>
        <v>27219.629355555553</v>
      </c>
      <c r="AD438" s="456"/>
      <c r="AE438" s="455"/>
      <c r="AF438" s="248">
        <f t="shared" si="243"/>
        <v>0</v>
      </c>
      <c r="AG438" s="450"/>
      <c r="AH438" s="451">
        <f t="shared" si="239"/>
        <v>-27219.629355555553</v>
      </c>
      <c r="AI438" s="452">
        <f t="shared" si="246"/>
        <v>-1</v>
      </c>
      <c r="AJ438" s="456"/>
      <c r="AK438" s="449"/>
      <c r="AL438" s="87">
        <f t="shared" si="244"/>
        <v>25339.510000000002</v>
      </c>
      <c r="AM438" s="453"/>
      <c r="AN438" s="451">
        <f t="shared" si="240"/>
        <v>-25339.510000000002</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7"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7" t="s">
        <v>3301</v>
      </c>
      <c r="V440" s="299" t="s">
        <v>127</v>
      </c>
      <c r="W440" s="454" t="s">
        <v>227</v>
      </c>
      <c r="X440" s="449"/>
      <c r="Y440" s="455"/>
      <c r="Z440" s="87">
        <f t="shared" si="241"/>
        <v>1380.3661007970945</v>
      </c>
      <c r="AA440" s="449"/>
      <c r="AB440" s="455"/>
      <c r="AC440" s="87">
        <f t="shared" si="242"/>
        <v>1380.3661007970945</v>
      </c>
      <c r="AD440" s="456"/>
      <c r="AE440" s="455"/>
      <c r="AF440" s="248">
        <f t="shared" si="243"/>
        <v>0</v>
      </c>
      <c r="AG440" s="450"/>
      <c r="AH440" s="451">
        <f t="shared" si="239"/>
        <v>-1380.3661007970945</v>
      </c>
      <c r="AI440" s="452">
        <f t="shared" si="246"/>
        <v>-1</v>
      </c>
      <c r="AJ440" s="456"/>
      <c r="AK440" s="449"/>
      <c r="AL440" s="87">
        <f t="shared" si="244"/>
        <v>-41.519999999999996</v>
      </c>
      <c r="AM440" s="453"/>
      <c r="AN440" s="451">
        <f t="shared" si="240"/>
        <v>41.519999999999996</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7" t="s">
        <v>3301</v>
      </c>
      <c r="U441" s="79"/>
      <c r="V441" s="299" t="s">
        <v>128</v>
      </c>
      <c r="W441" s="454" t="s">
        <v>228</v>
      </c>
      <c r="X441" s="449"/>
      <c r="Y441" s="449"/>
      <c r="Z441" s="87">
        <f t="shared" si="241"/>
        <v>733.49025920060342</v>
      </c>
      <c r="AA441" s="449"/>
      <c r="AB441" s="449"/>
      <c r="AC441" s="87">
        <f t="shared" si="242"/>
        <v>733.49025920060342</v>
      </c>
      <c r="AD441" s="456"/>
      <c r="AE441" s="455"/>
      <c r="AF441" s="87">
        <f t="shared" si="243"/>
        <v>0</v>
      </c>
      <c r="AG441" s="450"/>
      <c r="AH441" s="451">
        <f t="shared" si="239"/>
        <v>-733.49025920060342</v>
      </c>
      <c r="AI441" s="97">
        <f t="shared" si="246"/>
        <v>-1</v>
      </c>
      <c r="AJ441" s="456"/>
      <c r="AK441" s="449"/>
      <c r="AL441" s="87">
        <f t="shared" si="244"/>
        <v>954.57</v>
      </c>
      <c r="AM441" s="453"/>
      <c r="AN441" s="451">
        <f t="shared" si="240"/>
        <v>-954.57</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7"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1097.3900000000001</v>
      </c>
      <c r="AM442" s="453"/>
      <c r="AN442" s="451">
        <f t="shared" si="240"/>
        <v>-1097.3900000000001</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7"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691.89</v>
      </c>
      <c r="AM443" s="453"/>
      <c r="AN443" s="451">
        <f t="shared" si="240"/>
        <v>-691.89</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7"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594.81999999999994</v>
      </c>
      <c r="AM444" s="453"/>
      <c r="AN444" s="451">
        <f t="shared" si="240"/>
        <v>-594.81999999999994</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7"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2350.37</v>
      </c>
      <c r="AM445" s="453"/>
      <c r="AN445" s="451">
        <f t="shared" si="240"/>
        <v>-2350.37</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7"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3460.2099999999996</v>
      </c>
      <c r="AM446" s="453"/>
      <c r="AN446" s="451">
        <f t="shared" si="240"/>
        <v>-3460.2099999999996</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7" t="s">
        <v>3301</v>
      </c>
      <c r="D447"/>
      <c r="E447"/>
      <c r="F447"/>
      <c r="G447"/>
      <c r="H447"/>
      <c r="I447"/>
      <c r="J447"/>
      <c r="K447"/>
      <c r="L447"/>
      <c r="M447"/>
      <c r="N447"/>
      <c r="O447"/>
      <c r="P447"/>
      <c r="Q447"/>
      <c r="R447"/>
      <c r="S447"/>
      <c r="T447" s="79"/>
      <c r="U447" s="79"/>
      <c r="V447" s="299" t="s">
        <v>134</v>
      </c>
      <c r="W447" s="454" t="s">
        <v>234</v>
      </c>
      <c r="X447" s="449"/>
      <c r="Y447" s="455"/>
      <c r="Z447" s="87">
        <f t="shared" si="241"/>
        <v>13783.275856393127</v>
      </c>
      <c r="AA447" s="449"/>
      <c r="AB447" s="455"/>
      <c r="AC447" s="87">
        <f t="shared" si="242"/>
        <v>13783.275856393127</v>
      </c>
      <c r="AD447" s="456"/>
      <c r="AE447" s="455"/>
      <c r="AF447" s="1007">
        <f>SUMIFS(BV_Data_An_Cour!$P:$P,BV_Data_An_Cour!$W:$W,$V447)</f>
        <v>0</v>
      </c>
      <c r="AG447" s="450"/>
      <c r="AH447" s="451">
        <f t="shared" ref="AH447:AH450" si="251">AF447-AC447</f>
        <v>-13783.275856393127</v>
      </c>
      <c r="AI447" s="452">
        <f t="shared" ref="AI447:AI450" si="252">IF(AC447=0,0,AH447/AC447)</f>
        <v>-1</v>
      </c>
      <c r="AJ447" s="456"/>
      <c r="AK447" s="449"/>
      <c r="AL447" s="248">
        <f>SUMIFS(BV_Data_An_Prec!$O:$O,BV_Data_An_Prec!$V:$V,$V447)</f>
        <v>11433.93</v>
      </c>
      <c r="AM447" s="453"/>
      <c r="AN447" s="451">
        <f t="shared" ref="AN447:AN450" si="253">AF447-AL447</f>
        <v>-11433.93</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7"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7"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7"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7" t="s">
        <v>3301</v>
      </c>
      <c r="T451" s="79"/>
      <c r="U451" s="79"/>
      <c r="V451" s="461" t="s">
        <v>135</v>
      </c>
      <c r="W451" s="103"/>
      <c r="X451" s="89">
        <f>Z451/+Z406</f>
        <v>0.15263334222744382</v>
      </c>
      <c r="Y451" s="88"/>
      <c r="Z451" s="90">
        <f>+SUM(Z433:Z450)</f>
        <v>117999.81813360775</v>
      </c>
      <c r="AA451" s="89">
        <f>AC451/+AC406</f>
        <v>0.15263334222744382</v>
      </c>
      <c r="AB451" s="88"/>
      <c r="AC451" s="90">
        <f>+SUM(AC433:AC450)</f>
        <v>117999.81813360775</v>
      </c>
      <c r="AD451" s="91" t="e">
        <f>AF451/AF406</f>
        <v>#DIV/0!</v>
      </c>
      <c r="AE451" s="88"/>
      <c r="AF451" s="90">
        <f>+SUM(AF433:AF450)</f>
        <v>0</v>
      </c>
      <c r="AG451" s="99"/>
      <c r="AH451" s="549">
        <f>+SUM(AH433:AH450)</f>
        <v>-117999.81813360775</v>
      </c>
      <c r="AI451" s="89">
        <f>AH451/AC451</f>
        <v>-1</v>
      </c>
      <c r="AJ451" s="91">
        <f>IF($AL$406=0,0,AL451/$AL$406)</f>
        <v>0.12584846883138401</v>
      </c>
      <c r="AK451" s="89"/>
      <c r="AL451" s="90">
        <f>+SUM(AL433:AL450)</f>
        <v>110121.27000000002</v>
      </c>
      <c r="AM451" s="100"/>
      <c r="AN451" s="93">
        <f>+SUM(AN433:AN450)</f>
        <v>-110121.27000000002</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7"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7"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4810</v>
      </c>
      <c r="AM453" s="453"/>
      <c r="AN453" s="451">
        <f t="shared" si="256"/>
        <v>-4810</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7"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3200</v>
      </c>
      <c r="AM454" s="444"/>
      <c r="AN454" s="442">
        <f t="shared" si="256"/>
        <v>-3200</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7"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7"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7"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3464.9300000000003</v>
      </c>
      <c r="AM457" s="453"/>
      <c r="AN457" s="451">
        <f t="shared" si="256"/>
        <v>-3464.9300000000003</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7"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6217.0899999999992</v>
      </c>
      <c r="AM458" s="453"/>
      <c r="AN458" s="451">
        <f t="shared" si="256"/>
        <v>-6217.0899999999992</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7"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1563.54</v>
      </c>
      <c r="AM459" s="444"/>
      <c r="AN459" s="442">
        <f t="shared" si="256"/>
        <v>-1563.54</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7"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7"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7"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7"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7"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7"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6.3202767819890801E-2</v>
      </c>
      <c r="Y465" s="88"/>
      <c r="Z465" s="90">
        <f>SUM(Z452:Z464)</f>
        <v>48861.637958333333</v>
      </c>
      <c r="AA465" s="89">
        <f>AC465/+AC406</f>
        <v>6.3202767819890801E-2</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5.5956518644083665E-2</v>
      </c>
      <c r="AK465" s="89"/>
      <c r="AL465" s="90">
        <f>SUM(AL452:AL464)</f>
        <v>48963.67</v>
      </c>
      <c r="AM465" s="100"/>
      <c r="AN465" s="93">
        <f>SUM(AN452:AN464)</f>
        <v>-48963.67</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7"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7"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0.78840016973250382</v>
      </c>
      <c r="Y467" s="88"/>
      <c r="Z467" s="90">
        <f>Z418+Z432+Z451+Z465</f>
        <v>609506.909088791</v>
      </c>
      <c r="AA467" s="89">
        <f>AC467/+AC406</f>
        <v>0.78840016973250382</v>
      </c>
      <c r="AB467" s="88"/>
      <c r="AC467" s="90">
        <f>AC418+AC432+AC451+AC465</f>
        <v>609506.909088791</v>
      </c>
      <c r="AD467" s="91" t="e">
        <f>AF467/AF406</f>
        <v>#DIV/0!</v>
      </c>
      <c r="AE467" s="88"/>
      <c r="AF467" s="90">
        <f>AF418+AF432+AF451+AF465</f>
        <v>0</v>
      </c>
      <c r="AG467" s="99"/>
      <c r="AH467" s="93">
        <f t="shared" si="261"/>
        <v>-609506.909088791</v>
      </c>
      <c r="AI467" s="89">
        <f>AH467/AC467</f>
        <v>-1</v>
      </c>
      <c r="AJ467" s="91">
        <f>IF($AL$406=0,0,AL467/$AL$406)</f>
        <v>0.74149742659877327</v>
      </c>
      <c r="AK467" s="89"/>
      <c r="AL467" s="90">
        <f>AL418+AL432+AL451+AL465</f>
        <v>648832.99000000011</v>
      </c>
      <c r="AM467" s="100"/>
      <c r="AN467" s="93">
        <f t="shared" si="262"/>
        <v>-648832.99000000011</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7"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26110</v>
      </c>
      <c r="AA468" s="243"/>
      <c r="AB468" s="244"/>
      <c r="AC468" s="242">
        <f>+INDEX('Budget révisé'!$A$2:$AO$500,MATCH($A468,'Budget révisé'!$A$2:$A$500,0),MATCH(I$2,'Budget révisé'!$A$2:$AO$2,0))</f>
        <v>26110</v>
      </c>
      <c r="AD468" s="246"/>
      <c r="AE468" s="244"/>
      <c r="AF468" s="87">
        <f>-SUMIFS(BV_Data_An_Cour!$P:$P,BV_Data_An_Cour!$W:$W,$V468)</f>
        <v>0</v>
      </c>
      <c r="AG468" s="245"/>
      <c r="AH468" s="476">
        <f t="shared" si="261"/>
        <v>-26110</v>
      </c>
      <c r="AI468" s="477">
        <f t="shared" ref="AI468:AI472" si="263">IF(AH468=0,0,AH468/AC468)</f>
        <v>-1</v>
      </c>
      <c r="AJ468" s="246"/>
      <c r="AK468" s="243"/>
      <c r="AL468" s="478">
        <f>-SUMIFS(BV_Data_An_Prec!$O:$O,BV_Data_An_Prec!$V:$V,$V468)</f>
        <v>31096.09</v>
      </c>
      <c r="AM468" s="247"/>
      <c r="AN468" s="476">
        <f t="shared" si="262"/>
        <v>-31096.09</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7"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72177.255054216846</v>
      </c>
      <c r="AA469" s="249"/>
      <c r="AB469" s="476"/>
      <c r="AC469" s="248">
        <f t="shared" ref="AC469:AC475" si="265">+SUMIF($C:$C,$V469,I:I)</f>
        <v>72177.255054216846</v>
      </c>
      <c r="AD469" s="254"/>
      <c r="AE469" s="1180"/>
      <c r="AF469" s="248">
        <f t="shared" ref="AF469:AF475" si="266">+SUMIF($C:$C,$V469,L:L)</f>
        <v>0</v>
      </c>
      <c r="AG469" s="250"/>
      <c r="AH469" s="476">
        <f t="shared" si="261"/>
        <v>-72177.255054216846</v>
      </c>
      <c r="AI469" s="251">
        <f>IF(AC469=0,0,AH469/AC469)</f>
        <v>-1</v>
      </c>
      <c r="AJ469" s="252"/>
      <c r="AK469" s="249"/>
      <c r="AL469" s="253">
        <f t="shared" ref="AL469:AL475" si="267">+SUMIF($C:$C,$V469,Q:Q)</f>
        <v>53201.15</v>
      </c>
      <c r="AM469" s="254"/>
      <c r="AN469" s="476">
        <f t="shared" si="262"/>
        <v>-53201.15</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7"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7"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7"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7"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7"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7"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7"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7"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7"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7"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37494.802937599699</v>
      </c>
      <c r="AA479" s="249"/>
      <c r="AB479" s="241"/>
      <c r="AC479" s="248">
        <f>+SUMIF($C:$C,$V479,I:I)</f>
        <v>37494.802937599699</v>
      </c>
      <c r="AD479" s="1185">
        <f>AF479/399</f>
        <v>0</v>
      </c>
      <c r="AE479" s="1188" t="e">
        <f>(AF479/399)/(J13+J15+J96)</f>
        <v>#DIV/0!</v>
      </c>
      <c r="AF479" s="248">
        <f>+SUMIF($C:$C,$V479,L:L)</f>
        <v>0</v>
      </c>
      <c r="AG479" s="250"/>
      <c r="AH479" s="476">
        <f t="shared" ref="AH479:AH480" si="276">AF479-AC479</f>
        <v>-37494.802937599699</v>
      </c>
      <c r="AI479" s="251">
        <f>IF(AH479=0,0,AH479/AC479)</f>
        <v>-1</v>
      </c>
      <c r="AJ479" s="252"/>
      <c r="AK479" s="249"/>
      <c r="AL479" s="253">
        <f>+SUMIF($C:$C,$V479,Q:Q)</f>
        <v>36166</v>
      </c>
      <c r="AM479" s="254"/>
      <c r="AN479" s="476">
        <f t="shared" si="274"/>
        <v>-36166</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7"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0.17563475650738203</v>
      </c>
      <c r="Y480" s="103"/>
      <c r="Z480" s="90">
        <f>SUM(Z468:Z479)</f>
        <v>135782.05799181655</v>
      </c>
      <c r="AA480" s="89">
        <f>AC480/+AC406</f>
        <v>0.17563475650738203</v>
      </c>
      <c r="AB480" s="103"/>
      <c r="AC480" s="90">
        <f>SUM(AC468:AC479)</f>
        <v>135782.05799181655</v>
      </c>
      <c r="AD480" s="89" t="e">
        <f>AF480/+AF406</f>
        <v>#DIV/0!</v>
      </c>
      <c r="AE480" s="103"/>
      <c r="AF480" s="90">
        <f>SUM(AF468:AF479)</f>
        <v>0</v>
      </c>
      <c r="AG480" s="99"/>
      <c r="AH480" s="93">
        <f t="shared" si="276"/>
        <v>-135782.05799181655</v>
      </c>
      <c r="AI480" s="89">
        <f>AH480/AC480</f>
        <v>-1</v>
      </c>
      <c r="AJ480" s="109"/>
      <c r="AK480" s="110"/>
      <c r="AL480" s="90">
        <f>SUM(AL468:AL479)</f>
        <v>120463.24</v>
      </c>
      <c r="AM480" s="111"/>
      <c r="AN480" s="93">
        <f t="shared" ref="AN480:AN482" si="277">AF480-AL480</f>
        <v>-120463.24</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7"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7"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6.1296861432675813E-2</v>
      </c>
      <c r="Z482" s="485">
        <f>Z406-Z467+Z480</f>
        <v>299368.47446076933</v>
      </c>
      <c r="AA482" s="483" t="s">
        <v>258</v>
      </c>
      <c r="AB482" s="484">
        <f>AC482/AC405</f>
        <v>6.1296861432675813E-2</v>
      </c>
      <c r="AC482" s="485">
        <f>AC406-AC467+AC480</f>
        <v>299368.47446076933</v>
      </c>
      <c r="AD482" s="483" t="s">
        <v>258</v>
      </c>
      <c r="AE482" s="484" t="e">
        <f>AF482/AF405</f>
        <v>#DIV/0!</v>
      </c>
      <c r="AF482" s="211">
        <f>AF406-AF467+AF480</f>
        <v>0</v>
      </c>
      <c r="AG482" s="486"/>
      <c r="AH482" s="486">
        <f>AF482-AC482</f>
        <v>-299368.47446076933</v>
      </c>
      <c r="AI482" s="540">
        <f>AH482/AC482</f>
        <v>-1</v>
      </c>
      <c r="AJ482" s="487" t="s">
        <v>258</v>
      </c>
      <c r="AK482" s="484">
        <f>IF($AL$405=0,0,AL482/$AL$405)</f>
        <v>5.2266912788401898E-2</v>
      </c>
      <c r="AL482" s="211">
        <f>AL406-AL467+AL480</f>
        <v>346660.91999999946</v>
      </c>
      <c r="AM482" s="212"/>
      <c r="AN482" s="211">
        <f t="shared" si="277"/>
        <v>-346660.91999999946</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7"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7"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Novembre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7"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7"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7"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7"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6.1296861432675813E-2</v>
      </c>
      <c r="Z488" s="493">
        <f>Z482</f>
        <v>299368.47446076933</v>
      </c>
      <c r="AA488" s="491" t="s">
        <v>258</v>
      </c>
      <c r="AB488" s="492">
        <f>AC488/AC405</f>
        <v>6.1296861432675813E-2</v>
      </c>
      <c r="AC488" s="493">
        <f>AC482</f>
        <v>299368.47446076933</v>
      </c>
      <c r="AD488" s="491" t="s">
        <v>258</v>
      </c>
      <c r="AE488" s="492" t="e">
        <f>AF488/AF405</f>
        <v>#DIV/0!</v>
      </c>
      <c r="AF488" s="493">
        <f>AF482</f>
        <v>0</v>
      </c>
      <c r="AG488" s="494"/>
      <c r="AH488" s="486">
        <f>AF488-AC488</f>
        <v>-299368.47446076933</v>
      </c>
      <c r="AI488" s="540">
        <f>AH488/AC488</f>
        <v>-1</v>
      </c>
      <c r="AJ488" s="491" t="s">
        <v>258</v>
      </c>
      <c r="AK488" s="492">
        <f>IF($AL$405=0,0,AL488/$AL$405)</f>
        <v>5.2266912788401898E-2</v>
      </c>
      <c r="AL488" s="495">
        <f>AL482</f>
        <v>346660.91999999946</v>
      </c>
      <c r="AM488" s="496"/>
      <c r="AN488" s="497">
        <f>AF488-AL488</f>
        <v>-346660.91999999946</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7"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7"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6217.4999999999991</v>
      </c>
      <c r="AM490" s="453"/>
      <c r="AN490" s="451">
        <f t="shared" ref="AN490:AN491" si="280">AF490-AL490</f>
        <v>-6217.4999999999991</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7"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0</v>
      </c>
      <c r="AM491" s="502"/>
      <c r="AN491" s="451">
        <f t="shared" si="280"/>
        <v>0</v>
      </c>
      <c r="AO491" s="208">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7"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408.34000000000003</v>
      </c>
      <c r="AA492" s="433"/>
      <c r="AB492" s="433"/>
      <c r="AC492" s="87">
        <f>+INDEX('Budget révisé'!$A$2:$AO$500,MATCH($A492,'Budget révisé'!$A$2:$A$500,0),MATCH(I$2,'Budget révisé'!$A$2:$AO$2,0))</f>
        <v>408.34000000000003</v>
      </c>
      <c r="AD492" s="433"/>
      <c r="AE492" s="172"/>
      <c r="AF492" s="87">
        <f>SUMIFS(BV_Data_An_Cour!$P:$P,BV_Data_An_Cour!$W:$W,$V492)</f>
        <v>0</v>
      </c>
      <c r="AG492" s="433"/>
      <c r="AH492" s="451">
        <f t="shared" ref="AH492:AH496" si="283">AF492-AC492</f>
        <v>-408.34000000000003</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7"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7"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7"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7"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7"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5.968409894436888E-2</v>
      </c>
      <c r="Z497" s="485">
        <f>Z488-Z490-Z491-Z492-Z496</f>
        <v>291491.8844607693</v>
      </c>
      <c r="AA497" s="483" t="s">
        <v>258</v>
      </c>
      <c r="AB497" s="484">
        <f>AC497/AC405</f>
        <v>5.968409894436888E-2</v>
      </c>
      <c r="AC497" s="485">
        <f>AC488-AC490-AC491-AC492-AC496</f>
        <v>291491.8844607693</v>
      </c>
      <c r="AD497" s="483" t="s">
        <v>258</v>
      </c>
      <c r="AE497" s="484" t="e">
        <f>AF497/AF405</f>
        <v>#DIV/0!</v>
      </c>
      <c r="AF497" s="211">
        <f>AF488-AF490-AF491-AF492-AF496</f>
        <v>0</v>
      </c>
      <c r="AG497" s="486"/>
      <c r="AH497" s="486">
        <f>AF497-AC497</f>
        <v>-291491.8844607693</v>
      </c>
      <c r="AI497" s="540">
        <f>AH497/AC497</f>
        <v>-1</v>
      </c>
      <c r="AJ497" s="487" t="s">
        <v>258</v>
      </c>
      <c r="AK497" s="484">
        <f>IF($AL$405=0,0,AL497/$AL$405)</f>
        <v>5.1243455895626601E-2</v>
      </c>
      <c r="AL497" s="211">
        <f>AL488-AL490-AL491-AL492-AL496</f>
        <v>339872.82999999943</v>
      </c>
      <c r="AM497" s="212"/>
      <c r="AN497" s="211">
        <f>AF497-AL497</f>
        <v>-339872.82999999943</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291491.8844607693</v>
      </c>
      <c r="AA499" s="79"/>
      <c r="AB499" s="79"/>
      <c r="AC499" s="101">
        <f>Z499</f>
        <v>291491.8844607693</v>
      </c>
      <c r="AD499" s="79"/>
      <c r="AE499" s="79"/>
      <c r="AF499" s="1071"/>
      <c r="AG499" s="79"/>
      <c r="AH499" s="79"/>
      <c r="AI499" s="79"/>
      <c r="AJ499" s="79"/>
      <c r="AK499" s="79"/>
      <c r="AL499" s="1435">
        <v>339732.83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0" t="s">
        <v>3337</v>
      </c>
      <c r="E500" s="1321"/>
      <c r="F500" s="1322"/>
      <c r="G500" s="1323"/>
      <c r="H500" s="1307"/>
      <c r="I500" s="1308"/>
      <c r="J500" s="1312" t="s">
        <v>3330</v>
      </c>
      <c r="K500" s="1309"/>
      <c r="O500" s="1312"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103"/>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7"/>
      <c r="D501" s="1307" t="s">
        <v>3342</v>
      </c>
      <c r="E501" s="1307"/>
      <c r="F501" s="1308"/>
      <c r="G501" s="1307"/>
      <c r="H501" s="1307"/>
      <c r="I501" s="1308"/>
      <c r="J501" s="1307"/>
      <c r="K501" s="1307"/>
      <c r="L501" s="1317"/>
      <c r="M501" s="1317"/>
      <c r="N501" s="1317"/>
      <c r="O501" s="1307"/>
      <c r="P501" s="1307"/>
      <c r="Q501" s="1308"/>
      <c r="R501" s="1308"/>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7"/>
      <c r="D502" s="1309">
        <v>4423</v>
      </c>
      <c r="E502" s="1307" t="e">
        <f>VLOOKUP(D502,BV_Data_An_Cour!M:N,2,FALSE)</f>
        <v>#N/A</v>
      </c>
      <c r="F502" s="1308"/>
      <c r="G502" s="1307"/>
      <c r="H502" s="1307"/>
      <c r="I502" s="1308"/>
      <c r="J502" s="1310" t="e">
        <f>-VLOOKUP(D502,BV_Data_An_Cour!M:Q,4,FALSE)</f>
        <v>#N/A</v>
      </c>
      <c r="K502" s="1307"/>
      <c r="L502" s="1317"/>
      <c r="M502" s="1317"/>
      <c r="N502" s="1317"/>
      <c r="O502" s="1310" t="e">
        <f>-VLOOKUP(D502,BV_Data_An_Cour!M:Q,5,FALSE)</f>
        <v>#N/A</v>
      </c>
      <c r="P502" s="1307"/>
      <c r="Q502" s="1308"/>
      <c r="R502" s="1308"/>
      <c r="W502" s="79"/>
      <c r="X502" s="79"/>
      <c r="Y502" s="79"/>
      <c r="Z502" s="79"/>
      <c r="AA502" s="79"/>
      <c r="AB502" s="79"/>
      <c r="AC502" s="79"/>
      <c r="AD502" s="79"/>
      <c r="AE502" s="1334"/>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7"/>
      <c r="D503" s="1309">
        <v>5423</v>
      </c>
      <c r="E503" s="1307" t="e">
        <f>VLOOKUP(D503,BV_Data_An_Cour!M:N,2,FALSE)</f>
        <v>#N/A</v>
      </c>
      <c r="F503" s="1308"/>
      <c r="G503" s="1307"/>
      <c r="H503" s="1307"/>
      <c r="I503" s="1308"/>
      <c r="J503" s="1310" t="e">
        <f>-VLOOKUP(D503,BV_Data_An_Cour!M:Q,4,FALSE)</f>
        <v>#N/A</v>
      </c>
      <c r="K503" s="1313" t="e">
        <f>-J503/J502</f>
        <v>#N/A</v>
      </c>
      <c r="L503" s="1317"/>
      <c r="M503" s="1317"/>
      <c r="N503" s="1317"/>
      <c r="O503" s="1310" t="e">
        <f>-VLOOKUP(D503,BV_Data_An_Cour!M:Q,5,FALSE)</f>
        <v>#N/A</v>
      </c>
      <c r="P503" s="1313" t="e">
        <f>-O503/O502</f>
        <v>#N/A</v>
      </c>
      <c r="Q503" s="1308"/>
      <c r="R503" s="130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7"/>
      <c r="D504" s="1309"/>
      <c r="E504" s="1307" t="s">
        <v>3344</v>
      </c>
      <c r="F504" s="1308"/>
      <c r="G504" s="1307"/>
      <c r="H504" s="1307"/>
      <c r="I504" s="1308"/>
      <c r="J504" s="1311" t="e">
        <f>SUM(J502:J503)</f>
        <v>#N/A</v>
      </c>
      <c r="K504" s="1314" t="e">
        <f>+J504/J502</f>
        <v>#N/A</v>
      </c>
      <c r="L504" s="1317"/>
      <c r="M504" s="1317"/>
      <c r="N504" s="1317"/>
      <c r="O504" s="1311" t="e">
        <f>SUM(O502:O503)</f>
        <v>#N/A</v>
      </c>
      <c r="P504" s="1314" t="e">
        <f>+O504/O502</f>
        <v>#N/A</v>
      </c>
      <c r="Q504" s="1308"/>
      <c r="R504" s="1308"/>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7"/>
      <c r="D505" s="1309"/>
      <c r="E505" s="1307"/>
      <c r="F505" s="1308"/>
      <c r="G505" s="1307"/>
      <c r="H505" s="1307"/>
      <c r="I505" s="1308"/>
      <c r="J505" s="1309"/>
      <c r="K505" s="1307"/>
      <c r="L505" s="1317"/>
      <c r="M505" s="1317"/>
      <c r="N505" s="1317"/>
      <c r="O505" s="1309"/>
      <c r="P505" s="1307"/>
      <c r="Q505" s="1308"/>
      <c r="R505" s="1308"/>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7"/>
      <c r="D506" s="1309">
        <v>4425</v>
      </c>
      <c r="E506" s="1318" t="e">
        <f>VLOOKUP(D506,BV_Data_An_Cour!M:N,2,FALSE)</f>
        <v>#N/A</v>
      </c>
      <c r="F506" s="1308"/>
      <c r="G506" s="1307"/>
      <c r="H506" s="1307"/>
      <c r="I506" s="1308"/>
      <c r="J506" s="1316" t="e">
        <f>-VLOOKUP(D506,BV_Data_An_Cour!M:Q,4,FALSE)</f>
        <v>#N/A</v>
      </c>
      <c r="K506" s="1307"/>
      <c r="L506" s="1317"/>
      <c r="M506" s="1317"/>
      <c r="N506" s="1317"/>
      <c r="O506" s="1316" t="e">
        <f>-VLOOKUP(D506,BV_Data_An_Cour!M:Q,5,FALSE)</f>
        <v>#N/A</v>
      </c>
      <c r="P506" s="1307"/>
      <c r="Q506" s="1308"/>
      <c r="R506" s="130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7"/>
      <c r="D507" s="1309"/>
      <c r="E507" s="1307"/>
      <c r="F507" s="1308"/>
      <c r="G507" s="1307"/>
      <c r="H507" s="1307"/>
      <c r="I507" s="1308"/>
      <c r="J507" s="1307"/>
      <c r="K507" s="1307"/>
      <c r="L507" s="1317"/>
      <c r="M507" s="1317"/>
      <c r="N507" s="1317"/>
      <c r="O507" s="1307"/>
      <c r="P507" s="1307"/>
      <c r="Q507" s="1308"/>
      <c r="R507" s="130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7"/>
      <c r="D508" s="1309"/>
      <c r="E508" s="1307"/>
      <c r="F508" s="1308"/>
      <c r="G508" s="1307"/>
      <c r="H508" s="1307"/>
      <c r="I508" s="1308"/>
      <c r="J508" s="1307"/>
      <c r="K508" s="1307"/>
      <c r="L508" s="1317"/>
      <c r="M508" s="1317"/>
      <c r="N508" s="1317"/>
      <c r="O508" s="1307"/>
      <c r="P508" s="1307"/>
      <c r="Q508" s="1308"/>
      <c r="R508" s="130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7"/>
      <c r="D509" s="1309">
        <v>4727</v>
      </c>
      <c r="E509" s="1307" t="e">
        <f>VLOOKUP(D509,BV_Data_An_Cour!M:N,2,FALSE)</f>
        <v>#N/A</v>
      </c>
      <c r="F509" s="1308"/>
      <c r="G509" s="1307"/>
      <c r="H509" s="1307"/>
      <c r="I509" s="1308"/>
      <c r="J509" s="1310" t="e">
        <f>-VLOOKUP(D509,BV_Data_An_Cour!M:Q,4,FALSE)</f>
        <v>#N/A</v>
      </c>
      <c r="K509" s="1307"/>
      <c r="L509" s="1317"/>
      <c r="M509" s="1317"/>
      <c r="N509" s="1317"/>
      <c r="O509" s="1310" t="e">
        <f>-VLOOKUP(D509,BV_Data_An_Cour!M:Q,5,FALSE)</f>
        <v>#N/A</v>
      </c>
      <c r="P509" s="1307"/>
      <c r="Q509" s="1308"/>
      <c r="R509" s="130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7"/>
      <c r="D510" s="1309">
        <v>5727</v>
      </c>
      <c r="E510" s="1307" t="e">
        <f>VLOOKUP(D510,BV_Data_An_Cour!M:N,2,FALSE)</f>
        <v>#N/A</v>
      </c>
      <c r="F510" s="1308"/>
      <c r="G510" s="1307"/>
      <c r="H510" s="1307"/>
      <c r="I510" s="1308"/>
      <c r="J510" s="1310" t="e">
        <f>-VLOOKUP(D510,BV_Data_An_Cour!M:Q,4,FALSE)</f>
        <v>#N/A</v>
      </c>
      <c r="K510" s="1313" t="e">
        <f>-J510/J509</f>
        <v>#N/A</v>
      </c>
      <c r="L510" s="1317"/>
      <c r="M510" s="1317"/>
      <c r="N510" s="1317"/>
      <c r="O510" s="1310" t="e">
        <f>-VLOOKUP(D510,BV_Data_An_Cour!M:Q,5,FALSE)</f>
        <v>#N/A</v>
      </c>
      <c r="P510" s="1313" t="e">
        <f>-O510/O509</f>
        <v>#N/A</v>
      </c>
      <c r="Q510" s="1308"/>
      <c r="R510" s="130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7"/>
      <c r="D511" s="1307"/>
      <c r="E511" s="1307" t="s">
        <v>3345</v>
      </c>
      <c r="F511" s="1308"/>
      <c r="G511" s="1307"/>
      <c r="H511" s="1307"/>
      <c r="I511" s="1308"/>
      <c r="J511" s="1311" t="e">
        <f>SUM(J509:J510)</f>
        <v>#N/A</v>
      </c>
      <c r="K511" s="1314" t="e">
        <f>+J511/J509</f>
        <v>#N/A</v>
      </c>
      <c r="L511" s="1317"/>
      <c r="M511" s="1317"/>
      <c r="N511" s="1317"/>
      <c r="O511" s="1311" t="e">
        <f>SUM(O509:O510)</f>
        <v>#N/A</v>
      </c>
      <c r="P511" s="1314" t="e">
        <f>+O511/O509</f>
        <v>#N/A</v>
      </c>
      <c r="Q511" s="1308"/>
      <c r="R511" s="1308"/>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7"/>
      <c r="D512" s="1309"/>
      <c r="E512" s="1307"/>
      <c r="F512" s="1308"/>
      <c r="G512" s="1307"/>
      <c r="H512" s="1307"/>
      <c r="I512" s="1308"/>
      <c r="J512" s="1309"/>
      <c r="K512" s="1307"/>
      <c r="L512" s="1317"/>
      <c r="M512" s="1317"/>
      <c r="N512" s="1317"/>
      <c r="O512" s="1309"/>
      <c r="P512" s="1307"/>
      <c r="Q512" s="1308"/>
      <c r="R512" s="130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7"/>
      <c r="D513" s="1309">
        <v>4729</v>
      </c>
      <c r="E513" s="1318" t="e">
        <f>VLOOKUP(D513,BV_Data_An_Cour!M:N,2,FALSE)</f>
        <v>#N/A</v>
      </c>
      <c r="F513" s="1308"/>
      <c r="G513" s="1307"/>
      <c r="H513" s="1307"/>
      <c r="I513" s="1308"/>
      <c r="J513" s="1316" t="e">
        <f>-VLOOKUP(D513,BV_Data_An_Cour!M:Q,4,FALSE)</f>
        <v>#N/A</v>
      </c>
      <c r="K513" s="1307"/>
      <c r="L513" s="1317"/>
      <c r="M513" s="1317"/>
      <c r="N513" s="1317"/>
      <c r="O513" s="1316" t="e">
        <f>-VLOOKUP(D513,BV_Data_An_Cour!M:Q,5,FALSE)</f>
        <v>#N/A</v>
      </c>
      <c r="P513" s="1307"/>
      <c r="Q513" s="1308"/>
      <c r="R513" s="130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7"/>
      <c r="D514" s="1317"/>
      <c r="E514" s="1317"/>
      <c r="F514" s="1317"/>
      <c r="G514" s="1317"/>
      <c r="H514" s="1317"/>
      <c r="I514" s="1317"/>
      <c r="J514" s="1317"/>
      <c r="K514" s="1317"/>
      <c r="L514" s="1317"/>
      <c r="M514" s="1317"/>
      <c r="N514" s="1317"/>
      <c r="O514" s="1317"/>
      <c r="P514" s="1317"/>
      <c r="Q514" s="1308"/>
      <c r="R514" s="130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7" t="s">
        <v>3335</v>
      </c>
      <c r="E515" s="1307"/>
      <c r="F515" s="1308"/>
      <c r="G515" s="1307"/>
      <c r="H515" s="1307"/>
      <c r="I515" s="1308"/>
      <c r="J515" s="1307"/>
      <c r="K515" s="1307"/>
      <c r="L515" s="1317"/>
      <c r="M515" s="1317"/>
      <c r="N515" s="1317"/>
      <c r="O515" s="1307"/>
      <c r="P515" s="130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09"/>
      <c r="E516" s="1307" t="s">
        <v>3332</v>
      </c>
      <c r="F516" s="1308"/>
      <c r="G516" s="1307"/>
      <c r="H516" s="1307"/>
      <c r="I516" s="1308"/>
      <c r="J516" s="1310" t="e">
        <f>+J502</f>
        <v>#N/A</v>
      </c>
      <c r="K516" s="1307"/>
      <c r="L516" s="1317"/>
      <c r="M516" s="1317"/>
      <c r="N516" s="1317"/>
      <c r="O516" s="1310" t="e">
        <f>+O502</f>
        <v>#N/A</v>
      </c>
      <c r="P516" s="130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09"/>
      <c r="E517" s="1307" t="s">
        <v>3333</v>
      </c>
      <c r="F517" s="1308"/>
      <c r="G517" s="1307"/>
      <c r="H517" s="1307"/>
      <c r="I517" s="1308"/>
      <c r="J517" s="1310" t="e">
        <f>+J503</f>
        <v>#N/A</v>
      </c>
      <c r="K517" s="1313" t="e">
        <f>-J517/J516</f>
        <v>#N/A</v>
      </c>
      <c r="L517" s="1317"/>
      <c r="M517" s="1317"/>
      <c r="N517" s="1317"/>
      <c r="O517" s="1310" t="e">
        <f>+O503</f>
        <v>#N/A</v>
      </c>
      <c r="P517" s="131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09"/>
      <c r="E518" s="1307"/>
      <c r="F518" s="1308"/>
      <c r="G518" s="1307"/>
      <c r="H518" s="1307"/>
      <c r="I518" s="1308"/>
      <c r="J518" s="1311" t="e">
        <f>SUM(J516:J517)</f>
        <v>#N/A</v>
      </c>
      <c r="K518" s="1314" t="e">
        <f>+J518/J516</f>
        <v>#N/A</v>
      </c>
      <c r="L518" s="1317"/>
      <c r="M518" s="1317"/>
      <c r="N518" s="1317"/>
      <c r="O518" s="1311" t="e">
        <f>SUM(O516:O517)</f>
        <v>#N/A</v>
      </c>
      <c r="P518" s="131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09"/>
      <c r="E519" s="1307"/>
      <c r="F519" s="1308"/>
      <c r="G519" s="1307"/>
      <c r="H519" s="1317"/>
      <c r="I519" s="1315"/>
      <c r="J519" s="1317"/>
      <c r="K519" s="1307"/>
      <c r="L519" s="1317"/>
      <c r="M519" s="1317"/>
      <c r="N519" s="1315"/>
      <c r="O519" s="1317"/>
      <c r="P519" s="130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09"/>
      <c r="E520" s="1307" t="s">
        <v>3334</v>
      </c>
      <c r="F520" s="1308"/>
      <c r="G520" s="1307"/>
      <c r="H520" s="1307"/>
      <c r="I520" s="1308"/>
      <c r="J520" s="1319" t="e">
        <f>+J506+J513</f>
        <v>#N/A</v>
      </c>
      <c r="K520" s="1307"/>
      <c r="L520" s="1317"/>
      <c r="M520" s="1317"/>
      <c r="N520" s="1317"/>
      <c r="O520" s="1319" t="e">
        <f>+O506+O513</f>
        <v>#N/A</v>
      </c>
      <c r="P520" s="1307"/>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09"/>
      <c r="E521" s="1307"/>
      <c r="F521" s="1308"/>
      <c r="G521" s="1307"/>
      <c r="H521" s="1307"/>
      <c r="I521" s="1308"/>
      <c r="J521" s="1324"/>
      <c r="K521" s="1307"/>
      <c r="L521" s="1317"/>
      <c r="M521" s="1317"/>
      <c r="N521" s="1317"/>
      <c r="O521" s="1324"/>
      <c r="P521" s="1307"/>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09"/>
      <c r="E522" s="1318"/>
      <c r="F522" s="1308"/>
      <c r="G522" s="1307"/>
      <c r="H522" s="1307"/>
      <c r="I522" s="1308"/>
      <c r="J522" s="79"/>
      <c r="K522" s="1307"/>
      <c r="L522" s="1317"/>
      <c r="M522" s="1317"/>
      <c r="N522" s="1317"/>
      <c r="O522" s="79"/>
      <c r="P522" s="130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0" t="s">
        <v>3336</v>
      </c>
      <c r="E523" s="1321"/>
      <c r="F523" s="1322"/>
      <c r="G523" s="1323"/>
      <c r="J523" s="1312" t="s">
        <v>3330</v>
      </c>
      <c r="O523" s="1312"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7"/>
      <c r="D524" s="1307" t="s">
        <v>3342</v>
      </c>
      <c r="E524" s="1307"/>
      <c r="F524" s="1308"/>
      <c r="G524" s="1307"/>
      <c r="H524" s="1307"/>
      <c r="I524" s="1308"/>
      <c r="J524" s="1307"/>
      <c r="K524" s="1307"/>
      <c r="L524" s="1317"/>
      <c r="M524" s="1317"/>
      <c r="N524" s="1317"/>
      <c r="O524" s="1307"/>
      <c r="P524" s="1307"/>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7"/>
      <c r="D525" s="1309">
        <v>4405</v>
      </c>
      <c r="E525" s="1307" t="e">
        <f>VLOOKUP(D525,BV_Data_An_Cour!M:N,2,FALSE)</f>
        <v>#N/A</v>
      </c>
      <c r="F525" s="1308"/>
      <c r="G525" s="1307"/>
      <c r="H525" s="1307"/>
      <c r="I525" s="1308"/>
      <c r="J525" s="1310" t="e">
        <f>-VLOOKUP(D525,BV_Data_An_Cour!M:Q,4,FALSE)</f>
        <v>#N/A</v>
      </c>
      <c r="K525" s="1307"/>
      <c r="L525" s="1317"/>
      <c r="M525" s="1317"/>
      <c r="N525" s="1317"/>
      <c r="O525" s="1310" t="e">
        <f>-VLOOKUP(D525,BV_Data_An_Cour!M:Q,5,FALSE)</f>
        <v>#N/A</v>
      </c>
      <c r="P525" s="1307"/>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7"/>
      <c r="D526" s="1309">
        <v>5405</v>
      </c>
      <c r="E526" s="1307" t="e">
        <f>VLOOKUP(D526,BV_Data_An_Cour!M:N,2,FALSE)</f>
        <v>#N/A</v>
      </c>
      <c r="F526" s="1308"/>
      <c r="G526" s="1307"/>
      <c r="H526" s="1307"/>
      <c r="I526" s="1308"/>
      <c r="J526" s="1310" t="e">
        <f>-VLOOKUP(D526,BV_Data_An_Cour!M:Q,4,FALSE)</f>
        <v>#N/A</v>
      </c>
      <c r="K526" s="1313" t="e">
        <f>-J526/J525</f>
        <v>#N/A</v>
      </c>
      <c r="L526" s="1317"/>
      <c r="M526" s="1317"/>
      <c r="N526" s="1317"/>
      <c r="O526" s="1310" t="e">
        <f>-VLOOKUP(D526,BV_Data_An_Cour!M:Q,5,FALSE)</f>
        <v>#N/A</v>
      </c>
      <c r="P526" s="1313"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7"/>
      <c r="D527" s="1309"/>
      <c r="E527" s="1307" t="s">
        <v>3338</v>
      </c>
      <c r="F527" s="1308"/>
      <c r="G527" s="1307"/>
      <c r="H527" s="1307"/>
      <c r="I527" s="1308"/>
      <c r="J527" s="1311" t="e">
        <f>SUM(J525:J526)</f>
        <v>#N/A</v>
      </c>
      <c r="K527" s="1314" t="e">
        <f>+J527/J525</f>
        <v>#N/A</v>
      </c>
      <c r="L527" s="1317"/>
      <c r="M527" s="1317"/>
      <c r="N527" s="1317"/>
      <c r="O527" s="1311" t="e">
        <f>SUM(O525:O526)</f>
        <v>#N/A</v>
      </c>
      <c r="P527" s="1314"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7"/>
      <c r="D528" s="1309"/>
      <c r="E528" s="1307"/>
      <c r="F528" s="1308"/>
      <c r="G528" s="1307"/>
      <c r="H528" s="1307"/>
      <c r="I528" s="1308"/>
      <c r="J528" s="1309"/>
      <c r="K528" s="1307"/>
      <c r="L528" s="1317"/>
      <c r="M528" s="1317"/>
      <c r="N528" s="1317"/>
      <c r="O528" s="1309"/>
      <c r="P528" s="1307"/>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7"/>
      <c r="D529" s="1309"/>
      <c r="E529" s="1307"/>
      <c r="F529" s="1308"/>
      <c r="G529" s="1307"/>
      <c r="H529" s="1307"/>
      <c r="I529" s="1308"/>
      <c r="J529" s="1307"/>
      <c r="K529" s="1307"/>
      <c r="L529" s="1317"/>
      <c r="M529" s="1317"/>
      <c r="N529" s="1317"/>
      <c r="O529" s="1307"/>
      <c r="P529" s="1307"/>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7"/>
      <c r="D530" s="1309">
        <v>4705</v>
      </c>
      <c r="E530" s="1307" t="e">
        <f>VLOOKUP(D530,BV_Data_An_Cour!M:N,2,FALSE)</f>
        <v>#N/A</v>
      </c>
      <c r="F530" s="1308"/>
      <c r="G530" s="1307"/>
      <c r="H530" s="1307"/>
      <c r="I530" s="1308"/>
      <c r="J530" s="1310" t="e">
        <f>-VLOOKUP(D530,BV_Data_An_Cour!M:Q,4,FALSE)</f>
        <v>#N/A</v>
      </c>
      <c r="K530" s="1307"/>
      <c r="L530" s="1317"/>
      <c r="M530" s="1317"/>
      <c r="N530" s="1317"/>
      <c r="O530" s="1310" t="e">
        <f>-VLOOKUP(D530,BV_Data_An_Cour!M:Q,5,FALSE)</f>
        <v>#N/A</v>
      </c>
      <c r="P530" s="1307"/>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7"/>
      <c r="D531" s="1309">
        <v>5705</v>
      </c>
      <c r="E531" s="1307" t="e">
        <f>VLOOKUP(D531,BV_Data_An_Cour!M:N,2,FALSE)</f>
        <v>#N/A</v>
      </c>
      <c r="F531" s="1308"/>
      <c r="G531" s="1307"/>
      <c r="H531" s="1307"/>
      <c r="I531" s="1308"/>
      <c r="J531" s="1310" t="e">
        <f>-VLOOKUP(D531,BV_Data_An_Cour!M:Q,4,FALSE)</f>
        <v>#N/A</v>
      </c>
      <c r="K531" s="1313" t="e">
        <f>-J531/J530</f>
        <v>#N/A</v>
      </c>
      <c r="L531" s="1317"/>
      <c r="M531" s="1317"/>
      <c r="N531" s="1317"/>
      <c r="O531" s="1310" t="e">
        <f>-VLOOKUP(D531,BV_Data_An_Cour!M:Q,5,FALSE)</f>
        <v>#N/A</v>
      </c>
      <c r="P531" s="1313"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7"/>
      <c r="D532" s="1307"/>
      <c r="E532" s="1307" t="s">
        <v>3339</v>
      </c>
      <c r="F532" s="1308"/>
      <c r="G532" s="1307"/>
      <c r="H532" s="1307"/>
      <c r="I532" s="1308"/>
      <c r="J532" s="1311" t="e">
        <f>SUM(J530:J531)</f>
        <v>#N/A</v>
      </c>
      <c r="K532" s="1314" t="e">
        <f>+J532/J530</f>
        <v>#N/A</v>
      </c>
      <c r="L532" s="1317"/>
      <c r="M532" s="1317"/>
      <c r="N532" s="1317"/>
      <c r="O532" s="1311" t="e">
        <f>SUM(O530:O531)</f>
        <v>#N/A</v>
      </c>
      <c r="P532" s="1314"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7"/>
      <c r="D533" s="1309"/>
      <c r="E533" s="1307"/>
      <c r="F533" s="1308"/>
      <c r="G533" s="1307"/>
      <c r="H533" s="1307"/>
      <c r="I533" s="1308"/>
      <c r="J533" s="1309"/>
      <c r="K533" s="1307"/>
      <c r="L533" s="1317"/>
      <c r="M533" s="1317"/>
      <c r="N533" s="1317"/>
      <c r="O533" s="1309"/>
      <c r="P533" s="1307"/>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7" t="s">
        <v>3335</v>
      </c>
      <c r="E534" s="1307"/>
      <c r="F534" s="1308"/>
      <c r="G534" s="1307"/>
      <c r="H534" s="1307"/>
      <c r="I534" s="1308"/>
      <c r="J534" s="1307"/>
      <c r="K534" s="1307"/>
      <c r="L534" s="1317"/>
      <c r="M534" s="1317"/>
      <c r="N534" s="1317"/>
      <c r="O534" s="1307"/>
      <c r="P534" s="1307"/>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09"/>
      <c r="E535" s="1307" t="s">
        <v>3340</v>
      </c>
      <c r="F535" s="1308"/>
      <c r="G535" s="1307"/>
      <c r="H535" s="1307"/>
      <c r="I535" s="1308"/>
      <c r="J535" s="1310" t="e">
        <f>+J525</f>
        <v>#N/A</v>
      </c>
      <c r="K535" s="1307"/>
      <c r="L535" s="1317"/>
      <c r="M535" s="1317"/>
      <c r="N535" s="1317"/>
      <c r="O535" s="1310" t="e">
        <f>+O525</f>
        <v>#N/A</v>
      </c>
      <c r="P535" s="1307"/>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09"/>
      <c r="E536" s="1307" t="s">
        <v>3341</v>
      </c>
      <c r="F536" s="1308"/>
      <c r="G536" s="1307"/>
      <c r="H536" s="1307"/>
      <c r="I536" s="1308"/>
      <c r="J536" s="1310" t="e">
        <f>+J526</f>
        <v>#N/A</v>
      </c>
      <c r="K536" s="1313" t="e">
        <f>-J536/J535</f>
        <v>#N/A</v>
      </c>
      <c r="L536" s="1317"/>
      <c r="M536" s="1317"/>
      <c r="N536" s="1317"/>
      <c r="O536" s="1310" t="e">
        <f>+O526</f>
        <v>#N/A</v>
      </c>
      <c r="P536" s="1313"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09"/>
      <c r="E537" s="1307"/>
      <c r="F537" s="1308"/>
      <c r="G537" s="1307"/>
      <c r="H537" s="1307"/>
      <c r="I537" s="1308"/>
      <c r="J537" s="1311" t="e">
        <f>SUM(J535:J536)</f>
        <v>#N/A</v>
      </c>
      <c r="K537" s="1314" t="e">
        <f>+J537/J535</f>
        <v>#N/A</v>
      </c>
      <c r="L537" s="1317"/>
      <c r="M537" s="1317"/>
      <c r="N537" s="1317"/>
      <c r="O537" s="1311" t="e">
        <f>SUM(O535:O536)</f>
        <v>#N/A</v>
      </c>
      <c r="P537" s="1314"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0" customWidth="1"/>
    <col min="2" max="2" width="16.375" style="1270" customWidth="1"/>
    <col min="3" max="5" width="11.125" style="1270" customWidth="1"/>
    <col min="6" max="6" width="3.25" style="1270" customWidth="1"/>
    <col min="7" max="7" width="16.375" style="1270" customWidth="1"/>
    <col min="8" max="10" width="11.125" style="1270" customWidth="1"/>
    <col min="11" max="11" width="3.25" style="1270" customWidth="1"/>
    <col min="12" max="12" width="16.375" style="1270" customWidth="1"/>
    <col min="13" max="15" width="11.125" style="1270" customWidth="1"/>
    <col min="16" max="16" width="3.25" style="1270" customWidth="1"/>
    <col min="17" max="17" width="16.375" style="1270" customWidth="1"/>
    <col min="18" max="20" width="11.125" style="1270" customWidth="1"/>
    <col min="21" max="16384" width="11" style="1270"/>
  </cols>
  <sheetData>
    <row r="1" spans="2:20" ht="16.5" thickTop="1" thickBot="1">
      <c r="B1" s="1301" t="s">
        <v>3328</v>
      </c>
      <c r="C1" s="1302"/>
      <c r="D1" s="1302"/>
      <c r="E1" s="1302"/>
      <c r="F1" s="1302"/>
      <c r="G1" s="1302"/>
      <c r="H1" s="1302"/>
      <c r="I1" s="1302"/>
      <c r="J1" s="1302"/>
      <c r="K1" s="1302"/>
      <c r="L1" s="1302"/>
      <c r="M1" s="1302"/>
      <c r="N1" s="1302"/>
      <c r="O1" s="1302"/>
      <c r="P1" s="1302"/>
      <c r="Q1" s="1302"/>
      <c r="R1" s="1302"/>
      <c r="S1" s="1302"/>
      <c r="T1" s="1303"/>
    </row>
    <row r="2" spans="2:20" ht="15.75" thickTop="1"/>
    <row r="3" spans="2:20">
      <c r="B3" s="1248" t="s">
        <v>3302</v>
      </c>
      <c r="C3" s="1269" t="s">
        <v>3303</v>
      </c>
      <c r="D3" s="1269" t="s">
        <v>3304</v>
      </c>
      <c r="E3" s="1269" t="s">
        <v>3305</v>
      </c>
      <c r="G3" s="1248" t="s">
        <v>3306</v>
      </c>
      <c r="H3" s="1269" t="s">
        <v>3303</v>
      </c>
      <c r="I3" s="1269" t="s">
        <v>3304</v>
      </c>
      <c r="J3" s="1269" t="s">
        <v>3305</v>
      </c>
      <c r="L3" s="1248" t="s">
        <v>155</v>
      </c>
      <c r="M3" s="1269" t="s">
        <v>3307</v>
      </c>
      <c r="N3" s="1269" t="s">
        <v>3308</v>
      </c>
      <c r="O3" s="1269" t="s">
        <v>3305</v>
      </c>
      <c r="Q3" s="1248" t="s">
        <v>3309</v>
      </c>
      <c r="R3" s="1269" t="s">
        <v>3303</v>
      </c>
      <c r="S3" s="1269" t="s">
        <v>3310</v>
      </c>
      <c r="T3" s="1269" t="s">
        <v>1914</v>
      </c>
    </row>
    <row r="4" spans="2:20">
      <c r="B4" s="1271" t="s">
        <v>3311</v>
      </c>
      <c r="G4" s="1271" t="s">
        <v>3311</v>
      </c>
      <c r="L4" s="1271" t="s">
        <v>3311</v>
      </c>
      <c r="Q4" s="1271" t="s">
        <v>3311</v>
      </c>
    </row>
    <row r="5" spans="2:20">
      <c r="B5" s="1250" t="s">
        <v>3312</v>
      </c>
      <c r="C5" s="1267">
        <f>Print_Mois!J27</f>
        <v>0</v>
      </c>
      <c r="D5" s="1251" t="e">
        <f>Print_Mois!L27/Print_Mois!J27</f>
        <v>#DIV/0!</v>
      </c>
      <c r="E5" s="1252" t="e">
        <f>+C5*D5</f>
        <v>#DIV/0!</v>
      </c>
      <c r="G5" s="1250" t="s">
        <v>3312</v>
      </c>
      <c r="H5" s="1267">
        <f>Print_Mois!J107</f>
        <v>0</v>
      </c>
      <c r="I5" s="1251" t="e">
        <f>Print_Mois!L107/Print_Mois!J107</f>
        <v>#DIV/0!</v>
      </c>
      <c r="J5" s="1252" t="e">
        <f>+H5*I5</f>
        <v>#DIV/0!</v>
      </c>
      <c r="L5" s="1250" t="s">
        <v>3312</v>
      </c>
      <c r="M5" s="1253">
        <f>Print_Mois!K193</f>
        <v>0</v>
      </c>
      <c r="N5" s="1254" t="e">
        <f>O5/M5</f>
        <v>#DIV/0!</v>
      </c>
      <c r="O5" s="1255">
        <f>Print_Mois!L193</f>
        <v>0</v>
      </c>
      <c r="Q5" s="1250" t="s">
        <v>3312</v>
      </c>
      <c r="R5" s="1256">
        <f>Print_Mois!J184</f>
        <v>0</v>
      </c>
      <c r="S5" s="1251" t="e">
        <f>Print_Mois!K184/Print_Mois!J184</f>
        <v>#DIV/0!</v>
      </c>
      <c r="T5" s="1252" t="e">
        <f>+R5*S5</f>
        <v>#DIV/0!</v>
      </c>
    </row>
    <row r="6" spans="2:20">
      <c r="B6" s="1272" t="s">
        <v>6</v>
      </c>
      <c r="C6" s="1273">
        <f>Print_Mois!G27</f>
        <v>69.049185871171147</v>
      </c>
      <c r="D6" s="1274">
        <f>Print_Mois!I27/Print_Mois!G27</f>
        <v>2791.4134769809079</v>
      </c>
      <c r="E6" s="1275">
        <f>+C6*D6</f>
        <v>192744.82801534684</v>
      </c>
      <c r="G6" s="1272" t="s">
        <v>6</v>
      </c>
      <c r="H6" s="1273">
        <f>Print_Mois!G107</f>
        <v>66.137647503380293</v>
      </c>
      <c r="I6" s="1274">
        <f>Print_Mois!I107/Print_Mois!G107</f>
        <v>1773.5940903255234</v>
      </c>
      <c r="J6" s="1275">
        <f>+H6*I6</f>
        <v>117301.3407600279</v>
      </c>
      <c r="L6" s="1272" t="s">
        <v>6</v>
      </c>
      <c r="M6" s="1276">
        <f>Print_Mois!H193</f>
        <v>409340.76714687631</v>
      </c>
      <c r="N6" s="1257">
        <f>O6/M6</f>
        <v>0.70288543480222276</v>
      </c>
      <c r="O6" s="1277">
        <f>Print_Mois!I193</f>
        <v>287719.66309830756</v>
      </c>
      <c r="Q6" s="1272" t="s">
        <v>6</v>
      </c>
      <c r="R6" s="1298">
        <f>Print_Mois!G184</f>
        <v>1670.8634071189394</v>
      </c>
      <c r="S6" s="1274">
        <f>Print_Mois!H184/Print_Mois!G184</f>
        <v>234.08000103379882</v>
      </c>
      <c r="T6" s="1275">
        <f>+R6*S6</f>
        <v>391115.70806573797</v>
      </c>
    </row>
    <row r="7" spans="2:20" ht="15.75" thickBot="1">
      <c r="B7" s="1278" t="s">
        <v>3311</v>
      </c>
      <c r="C7" s="1279">
        <f>+C5-C6</f>
        <v>-69.049185871171147</v>
      </c>
      <c r="D7" s="1280" t="e">
        <f t="shared" ref="D7:E7" si="0">+D5-D6</f>
        <v>#DIV/0!</v>
      </c>
      <c r="E7" s="1258" t="e">
        <f t="shared" si="0"/>
        <v>#DIV/0!</v>
      </c>
      <c r="G7" s="1278" t="s">
        <v>3311</v>
      </c>
      <c r="H7" s="1279">
        <f>+H5-H6</f>
        <v>-66.137647503380293</v>
      </c>
      <c r="I7" s="1280" t="e">
        <f t="shared" ref="I7:J7" si="1">+I5-I6</f>
        <v>#DIV/0!</v>
      </c>
      <c r="J7" s="1258" t="e">
        <f t="shared" si="1"/>
        <v>#DIV/0!</v>
      </c>
      <c r="L7" s="1278" t="s">
        <v>3311</v>
      </c>
      <c r="M7" s="1281">
        <f>+M5-M6</f>
        <v>-409340.76714687631</v>
      </c>
      <c r="N7" s="1282" t="e">
        <f t="shared" ref="N7:O7" si="2">+N5-N6</f>
        <v>#DIV/0!</v>
      </c>
      <c r="O7" s="1259">
        <f t="shared" si="2"/>
        <v>-287719.66309830756</v>
      </c>
      <c r="Q7" s="1278" t="s">
        <v>3311</v>
      </c>
      <c r="R7" s="1299">
        <f>+R5-R6</f>
        <v>-1670.8634071189394</v>
      </c>
      <c r="S7" s="1280" t="e">
        <f t="shared" ref="S7:T7" si="3">+S5-S6</f>
        <v>#DIV/0!</v>
      </c>
      <c r="T7" s="1260" t="e">
        <f t="shared" si="3"/>
        <v>#DIV/0!</v>
      </c>
    </row>
    <row r="8" spans="2:20" ht="15.75" thickTop="1">
      <c r="C8" s="1261">
        <f>+C7/C6</f>
        <v>-1</v>
      </c>
      <c r="D8" s="1261" t="e">
        <f>+D7/D6</f>
        <v>#DIV/0!</v>
      </c>
      <c r="E8" s="1275"/>
      <c r="H8" s="1261">
        <f>+H7/H6</f>
        <v>-1</v>
      </c>
      <c r="I8" s="1261" t="e">
        <f>+I7/I6</f>
        <v>#DIV/0!</v>
      </c>
      <c r="J8" s="1275"/>
      <c r="M8" s="1261">
        <f>+M7/M6</f>
        <v>-1</v>
      </c>
      <c r="N8" s="1261" t="e">
        <f>+N7/N6</f>
        <v>#DIV/0!</v>
      </c>
      <c r="O8" s="1284"/>
      <c r="R8" s="1261">
        <f>+R7/R6</f>
        <v>-1</v>
      </c>
      <c r="S8" s="1261" t="e">
        <f>+S7/S6</f>
        <v>#DIV/0!</v>
      </c>
      <c r="T8" s="1275"/>
    </row>
    <row r="9" spans="2:20">
      <c r="B9" s="1271" t="s">
        <v>3313</v>
      </c>
      <c r="D9" s="1275"/>
      <c r="E9" s="1275"/>
      <c r="G9" s="1271" t="s">
        <v>3313</v>
      </c>
      <c r="H9" s="1283"/>
      <c r="I9" s="1275"/>
      <c r="J9" s="1275"/>
      <c r="L9" s="1271" t="s">
        <v>3313</v>
      </c>
      <c r="M9" s="1275"/>
      <c r="N9" s="1285"/>
      <c r="O9" s="1284"/>
      <c r="Q9" s="1271" t="s">
        <v>3313</v>
      </c>
      <c r="S9" s="1275"/>
      <c r="T9" s="1275"/>
    </row>
    <row r="10" spans="2:20">
      <c r="B10" s="1272" t="s">
        <v>3314</v>
      </c>
      <c r="C10" s="1268">
        <f>+C5</f>
        <v>0</v>
      </c>
      <c r="D10" s="1252" t="e">
        <f>+D5</f>
        <v>#DIV/0!</v>
      </c>
      <c r="E10" s="1275" t="e">
        <f>+C10*D10</f>
        <v>#DIV/0!</v>
      </c>
      <c r="G10" s="1272" t="s">
        <v>3314</v>
      </c>
      <c r="H10" s="1268">
        <f>+H5</f>
        <v>0</v>
      </c>
      <c r="I10" s="1252" t="e">
        <f>+I5</f>
        <v>#DIV/0!</v>
      </c>
      <c r="J10" s="1275" t="e">
        <f>+H10*I10</f>
        <v>#DIV/0!</v>
      </c>
      <c r="L10" s="1272" t="s">
        <v>3314</v>
      </c>
      <c r="M10" s="1262">
        <f>+M5</f>
        <v>0</v>
      </c>
      <c r="N10" s="1263" t="e">
        <f>+N5</f>
        <v>#DIV/0!</v>
      </c>
      <c r="O10" s="1284" t="e">
        <f>+M10*N10</f>
        <v>#DIV/0!</v>
      </c>
      <c r="Q10" s="1272" t="s">
        <v>3314</v>
      </c>
      <c r="R10" s="1264">
        <f>+R5</f>
        <v>0</v>
      </c>
      <c r="S10" s="1252" t="e">
        <f>+S5</f>
        <v>#DIV/0!</v>
      </c>
      <c r="T10" s="1275" t="e">
        <f>+R10*S10</f>
        <v>#DIV/0!</v>
      </c>
    </row>
    <row r="11" spans="2:20">
      <c r="B11" s="1272" t="s">
        <v>3315</v>
      </c>
      <c r="C11" s="1268">
        <f>+C5</f>
        <v>0</v>
      </c>
      <c r="D11" s="1275">
        <f>+D6</f>
        <v>2791.4134769809079</v>
      </c>
      <c r="E11" s="1275">
        <f>C11*D11</f>
        <v>0</v>
      </c>
      <c r="G11" s="1272" t="s">
        <v>3315</v>
      </c>
      <c r="H11" s="1268">
        <f>+H5</f>
        <v>0</v>
      </c>
      <c r="I11" s="1275">
        <f>+I6</f>
        <v>1773.5940903255234</v>
      </c>
      <c r="J11" s="1275">
        <f>H11*I11</f>
        <v>0</v>
      </c>
      <c r="L11" s="1272" t="s">
        <v>3315</v>
      </c>
      <c r="M11" s="1262">
        <f>+M5</f>
        <v>0</v>
      </c>
      <c r="N11" s="1286">
        <f>+N6</f>
        <v>0.70288543480222276</v>
      </c>
      <c r="O11" s="1284">
        <f>M11*N11</f>
        <v>0</v>
      </c>
      <c r="Q11" s="1272" t="s">
        <v>3315</v>
      </c>
      <c r="R11" s="1264">
        <f>+R5</f>
        <v>0</v>
      </c>
      <c r="S11" s="1275">
        <f>+S6</f>
        <v>234.08000103379882</v>
      </c>
      <c r="T11" s="1275">
        <f>R11*S11</f>
        <v>0</v>
      </c>
    </row>
    <row r="12" spans="2:20" ht="15.75" thickBot="1">
      <c r="B12" s="1278" t="s">
        <v>3313</v>
      </c>
      <c r="C12" s="1279">
        <f>+C10-C11</f>
        <v>0</v>
      </c>
      <c r="D12" s="1280" t="e">
        <f t="shared" ref="D12:E12" si="4">+D10-D11</f>
        <v>#DIV/0!</v>
      </c>
      <c r="E12" s="1258" t="e">
        <f t="shared" si="4"/>
        <v>#DIV/0!</v>
      </c>
      <c r="G12" s="1278" t="s">
        <v>3313</v>
      </c>
      <c r="H12" s="1279">
        <f>+H10-H11</f>
        <v>0</v>
      </c>
      <c r="I12" s="1280" t="e">
        <f t="shared" ref="I12:J12" si="5">+I10-I11</f>
        <v>#DIV/0!</v>
      </c>
      <c r="J12" s="1258" t="e">
        <f t="shared" si="5"/>
        <v>#DIV/0!</v>
      </c>
      <c r="L12" s="1278" t="s">
        <v>3313</v>
      </c>
      <c r="M12" s="1281">
        <f>+M10-M11</f>
        <v>0</v>
      </c>
      <c r="N12" s="1282" t="e">
        <f t="shared" ref="N12:O12" si="6">+N10-N11</f>
        <v>#DIV/0!</v>
      </c>
      <c r="O12" s="1259" t="e">
        <f t="shared" si="6"/>
        <v>#DIV/0!</v>
      </c>
      <c r="Q12" s="1278" t="s">
        <v>3313</v>
      </c>
      <c r="R12" s="1299">
        <f>+R10-R11</f>
        <v>0</v>
      </c>
      <c r="S12" s="1280" t="e">
        <f t="shared" ref="S12:T12" si="7">+S10-S11</f>
        <v>#DIV/0!</v>
      </c>
      <c r="T12" s="1260" t="e">
        <f t="shared" si="7"/>
        <v>#DIV/0!</v>
      </c>
    </row>
    <row r="13" spans="2:20" ht="15.75" thickTop="1">
      <c r="B13" s="1272"/>
      <c r="C13" s="1283"/>
      <c r="D13" s="1275"/>
      <c r="E13" s="1275"/>
      <c r="G13" s="1272"/>
      <c r="H13" s="1283"/>
      <c r="I13" s="1275"/>
      <c r="J13" s="1275"/>
      <c r="L13" s="1272"/>
      <c r="M13" s="1275"/>
      <c r="N13" s="1287"/>
      <c r="O13" s="1288"/>
      <c r="Q13" s="1272"/>
      <c r="S13" s="1275"/>
      <c r="T13" s="1275"/>
    </row>
    <row r="14" spans="2:20">
      <c r="B14" s="1271" t="s">
        <v>3316</v>
      </c>
      <c r="C14" s="1283"/>
      <c r="D14" s="1275"/>
      <c r="E14" s="1275"/>
      <c r="G14" s="1271" t="s">
        <v>3316</v>
      </c>
      <c r="H14" s="1283"/>
      <c r="I14" s="1275"/>
      <c r="J14" s="1275"/>
      <c r="L14" s="1271" t="s">
        <v>3316</v>
      </c>
      <c r="M14" s="1275"/>
      <c r="N14" s="1286"/>
      <c r="O14" s="1284"/>
      <c r="Q14" s="1271" t="s">
        <v>3316</v>
      </c>
      <c r="S14" s="1275"/>
      <c r="T14" s="1275"/>
    </row>
    <row r="15" spans="2:20">
      <c r="B15" s="1272" t="s">
        <v>3317</v>
      </c>
      <c r="C15" s="1268">
        <f>+C5</f>
        <v>0</v>
      </c>
      <c r="D15" s="1275">
        <f>+D6</f>
        <v>2791.4134769809079</v>
      </c>
      <c r="E15" s="1275">
        <f>+C15*D15</f>
        <v>0</v>
      </c>
      <c r="G15" s="1272" t="s">
        <v>3317</v>
      </c>
      <c r="H15" s="1268">
        <f>+H5</f>
        <v>0</v>
      </c>
      <c r="I15" s="1275">
        <f>+I6</f>
        <v>1773.5940903255234</v>
      </c>
      <c r="J15" s="1275">
        <f>+H15*I15</f>
        <v>0</v>
      </c>
      <c r="L15" s="1272" t="s">
        <v>3317</v>
      </c>
      <c r="M15" s="1262">
        <f>+M5</f>
        <v>0</v>
      </c>
      <c r="N15" s="1286">
        <f>+N6</f>
        <v>0.70288543480222276</v>
      </c>
      <c r="O15" s="1284">
        <f>+M15*N15</f>
        <v>0</v>
      </c>
      <c r="Q15" s="1272" t="s">
        <v>3317</v>
      </c>
      <c r="R15" s="1264">
        <f>+R5</f>
        <v>0</v>
      </c>
      <c r="S15" s="1275">
        <f>+S6</f>
        <v>234.08000103379882</v>
      </c>
      <c r="T15" s="1275">
        <f>+R15*S15</f>
        <v>0</v>
      </c>
    </row>
    <row r="16" spans="2:20">
      <c r="B16" s="1272" t="s">
        <v>3318</v>
      </c>
      <c r="C16" s="1289">
        <f>+C6</f>
        <v>69.049185871171147</v>
      </c>
      <c r="D16" s="1275">
        <f>+D6</f>
        <v>2791.4134769809079</v>
      </c>
      <c r="E16" s="1275">
        <f>C16*D16</f>
        <v>192744.82801534684</v>
      </c>
      <c r="G16" s="1272" t="s">
        <v>3318</v>
      </c>
      <c r="H16" s="1289">
        <f>+H6</f>
        <v>66.137647503380293</v>
      </c>
      <c r="I16" s="1275">
        <f>+I6</f>
        <v>1773.5940903255234</v>
      </c>
      <c r="J16" s="1275">
        <f>H16*I16</f>
        <v>117301.3407600279</v>
      </c>
      <c r="L16" s="1272" t="s">
        <v>3318</v>
      </c>
      <c r="M16" s="1290">
        <f>+M6</f>
        <v>409340.76714687631</v>
      </c>
      <c r="N16" s="1286">
        <f>+N6</f>
        <v>0.70288543480222276</v>
      </c>
      <c r="O16" s="1284">
        <f>M16*N16</f>
        <v>287719.66309830756</v>
      </c>
      <c r="Q16" s="1272" t="s">
        <v>3318</v>
      </c>
      <c r="R16" s="1300">
        <f>+R6</f>
        <v>1670.8634071189394</v>
      </c>
      <c r="S16" s="1275">
        <f>+S6</f>
        <v>234.08000103379882</v>
      </c>
      <c r="T16" s="1275">
        <f>R16*S16</f>
        <v>391115.70806573797</v>
      </c>
    </row>
    <row r="17" spans="2:20" ht="15.75" thickBot="1">
      <c r="B17" s="1278" t="s">
        <v>3316</v>
      </c>
      <c r="C17" s="1279">
        <f>+C15-C16</f>
        <v>-69.049185871171147</v>
      </c>
      <c r="D17" s="1280">
        <f t="shared" ref="D17:E17" si="8">+D15-D16</f>
        <v>0</v>
      </c>
      <c r="E17" s="1258">
        <f t="shared" si="8"/>
        <v>-192744.82801534684</v>
      </c>
      <c r="G17" s="1278" t="s">
        <v>3316</v>
      </c>
      <c r="H17" s="1279">
        <f>+H15-H16</f>
        <v>-66.137647503380293</v>
      </c>
      <c r="I17" s="1280">
        <f t="shared" ref="I17:J17" si="9">+I15-I16</f>
        <v>0</v>
      </c>
      <c r="J17" s="1258">
        <f t="shared" si="9"/>
        <v>-117301.3407600279</v>
      </c>
      <c r="L17" s="1278" t="s">
        <v>3316</v>
      </c>
      <c r="M17" s="1281">
        <f>+M15-M16</f>
        <v>-409340.76714687631</v>
      </c>
      <c r="N17" s="1282">
        <f t="shared" ref="N17:O17" si="10">+N15-N16</f>
        <v>0</v>
      </c>
      <c r="O17" s="1259">
        <f t="shared" si="10"/>
        <v>-287719.66309830756</v>
      </c>
      <c r="Q17" s="1278" t="s">
        <v>3316</v>
      </c>
      <c r="R17" s="1299">
        <f>+R15-R16</f>
        <v>-1670.8634071189394</v>
      </c>
      <c r="S17" s="1280">
        <f t="shared" ref="S17:T17" si="11">+S15-S16</f>
        <v>0</v>
      </c>
      <c r="T17" s="1260">
        <f t="shared" si="11"/>
        <v>-391115.70806573797</v>
      </c>
    </row>
    <row r="18" spans="2:20" ht="15.75" thickTop="1">
      <c r="C18" s="1283"/>
      <c r="D18" s="1275"/>
      <c r="E18" s="1265" t="e">
        <f>+E7-E12-E17</f>
        <v>#DIV/0!</v>
      </c>
      <c r="H18" s="1283"/>
      <c r="I18" s="1275"/>
      <c r="J18" s="1265" t="e">
        <f>+J7-J12-J17</f>
        <v>#DIV/0!</v>
      </c>
      <c r="M18" s="1275"/>
      <c r="N18" s="1286"/>
      <c r="O18" s="1266" t="e">
        <f>+O7-O12-O17</f>
        <v>#DIV/0!</v>
      </c>
      <c r="S18" s="1275"/>
      <c r="T18" s="1265" t="e">
        <f>+T7-T12-T17</f>
        <v>#DIV/0!</v>
      </c>
    </row>
    <row r="19" spans="2:20">
      <c r="B19" s="1291" t="s">
        <v>3319</v>
      </c>
      <c r="C19" s="1283"/>
      <c r="D19" s="1275"/>
      <c r="E19" s="1275"/>
      <c r="G19" s="1291" t="s">
        <v>3319</v>
      </c>
      <c r="H19" s="1283"/>
      <c r="I19" s="1275"/>
      <c r="J19" s="1275"/>
      <c r="L19" s="1291" t="s">
        <v>3319</v>
      </c>
      <c r="M19" s="1275"/>
      <c r="N19" s="1286"/>
      <c r="O19" s="1284"/>
      <c r="Q19" s="1291" t="s">
        <v>3319</v>
      </c>
      <c r="S19" s="1275"/>
      <c r="T19" s="1275"/>
    </row>
    <row r="20" spans="2:20">
      <c r="B20" s="1272" t="s">
        <v>3320</v>
      </c>
      <c r="C20" s="1289">
        <f>MAX(C5:C6)</f>
        <v>69.049185871171147</v>
      </c>
      <c r="D20" s="1275" t="e">
        <f>MAX(D5:D6)</f>
        <v>#DIV/0!</v>
      </c>
      <c r="E20" s="1275" t="e">
        <f t="shared" ref="E20:E22" si="12">+C20*D20</f>
        <v>#DIV/0!</v>
      </c>
      <c r="G20" s="1272" t="s">
        <v>3320</v>
      </c>
      <c r="H20" s="1289">
        <f>MAX(H5:H6)</f>
        <v>66.137647503380293</v>
      </c>
      <c r="I20" s="1275" t="e">
        <f>MAX(I5:I6)</f>
        <v>#DIV/0!</v>
      </c>
      <c r="J20" s="1275" t="e">
        <f t="shared" ref="J20" si="13">+H20*I20</f>
        <v>#DIV/0!</v>
      </c>
      <c r="L20" s="1272" t="s">
        <v>3320</v>
      </c>
      <c r="M20" s="1290">
        <f>MAX(M5:M6)</f>
        <v>409340.76714687631</v>
      </c>
      <c r="N20" s="1286" t="e">
        <f>MAX(N5:N6)</f>
        <v>#DIV/0!</v>
      </c>
      <c r="O20" s="1284" t="e">
        <f t="shared" ref="O20" si="14">+M20*N20</f>
        <v>#DIV/0!</v>
      </c>
      <c r="Q20" s="1272" t="s">
        <v>3320</v>
      </c>
      <c r="R20" s="1300">
        <f>MAX(R5:R6)</f>
        <v>1670.8634071189394</v>
      </c>
      <c r="S20" s="1275" t="e">
        <f>MAX(S5:S6)</f>
        <v>#DIV/0!</v>
      </c>
      <c r="T20" s="1275" t="e">
        <f t="shared" ref="T20" si="15">+R20*S20</f>
        <v>#DIV/0!</v>
      </c>
    </row>
    <row r="21" spans="2:20">
      <c r="B21" s="1278" t="s">
        <v>3321</v>
      </c>
      <c r="C21" s="1289"/>
      <c r="D21" s="1275"/>
      <c r="E21" s="1292" t="e">
        <f>AVERAGE(E20,E22)</f>
        <v>#DIV/0!</v>
      </c>
      <c r="G21" s="1278" t="s">
        <v>3321</v>
      </c>
      <c r="H21" s="1289"/>
      <c r="I21" s="1275"/>
      <c r="J21" s="1292" t="e">
        <f>AVERAGE(J20,J22)</f>
        <v>#DIV/0!</v>
      </c>
      <c r="L21" s="1278" t="s">
        <v>3321</v>
      </c>
      <c r="M21" s="1290"/>
      <c r="N21" s="1286"/>
      <c r="O21" s="1293" t="e">
        <f>AVERAGE(O20,O22)</f>
        <v>#DIV/0!</v>
      </c>
      <c r="Q21" s="1278" t="s">
        <v>3321</v>
      </c>
      <c r="R21" s="1300"/>
      <c r="S21" s="1275"/>
      <c r="T21" s="1292" t="e">
        <f>AVERAGE(T20,T22)</f>
        <v>#DIV/0!</v>
      </c>
    </row>
    <row r="22" spans="2:20">
      <c r="B22" s="1272" t="s">
        <v>3322</v>
      </c>
      <c r="C22" s="1289">
        <f>MIN(C5:C6)</f>
        <v>0</v>
      </c>
      <c r="D22" s="1275" t="e">
        <f>MIN(D5:D6)</f>
        <v>#DIV/0!</v>
      </c>
      <c r="E22" s="1275" t="e">
        <f t="shared" si="12"/>
        <v>#DIV/0!</v>
      </c>
      <c r="G22" s="1272" t="s">
        <v>3322</v>
      </c>
      <c r="H22" s="1289">
        <f>MIN(H5:H6)</f>
        <v>0</v>
      </c>
      <c r="I22" s="1275" t="e">
        <f>MIN(I5:I6)</f>
        <v>#DIV/0!</v>
      </c>
      <c r="J22" s="1275" t="e">
        <f t="shared" ref="J22" si="16">+H22*I22</f>
        <v>#DIV/0!</v>
      </c>
      <c r="L22" s="1272" t="s">
        <v>3322</v>
      </c>
      <c r="M22" s="1290">
        <f>MIN(M5:M6)</f>
        <v>0</v>
      </c>
      <c r="N22" s="1286" t="e">
        <f>MIN(N5:N6)</f>
        <v>#DIV/0!</v>
      </c>
      <c r="O22" s="1284" t="e">
        <f t="shared" ref="O22" si="17">+M22*N22</f>
        <v>#DIV/0!</v>
      </c>
      <c r="Q22" s="1272" t="s">
        <v>3322</v>
      </c>
      <c r="R22" s="1300">
        <f>MIN(R5:R6)</f>
        <v>0</v>
      </c>
      <c r="S22" s="1275" t="e">
        <f>MIN(S5:S6)</f>
        <v>#DIV/0!</v>
      </c>
      <c r="T22" s="1275" t="e">
        <f t="shared" ref="T22" si="18">+R22*S22</f>
        <v>#DIV/0!</v>
      </c>
    </row>
    <row r="23" spans="2:20" ht="15.75" thickBot="1">
      <c r="B23" s="1278" t="s">
        <v>3323</v>
      </c>
      <c r="C23" s="1279">
        <f>+C20-C22</f>
        <v>69.049185871171147</v>
      </c>
      <c r="D23" s="1280" t="e">
        <f t="shared" ref="D23:E23" si="19">+D20-D22</f>
        <v>#DIV/0!</v>
      </c>
      <c r="E23" s="1280" t="e">
        <f t="shared" si="19"/>
        <v>#DIV/0!</v>
      </c>
      <c r="G23" s="1278" t="s">
        <v>3323</v>
      </c>
      <c r="H23" s="1279">
        <f>+H20-H22</f>
        <v>66.137647503380293</v>
      </c>
      <c r="I23" s="1280" t="e">
        <f t="shared" ref="I23:J23" si="20">+I20-I22</f>
        <v>#DIV/0!</v>
      </c>
      <c r="J23" s="1280" t="e">
        <f t="shared" si="20"/>
        <v>#DIV/0!</v>
      </c>
      <c r="L23" s="1278" t="s">
        <v>3323</v>
      </c>
      <c r="M23" s="1281">
        <f>+M20-M22</f>
        <v>409340.76714687631</v>
      </c>
      <c r="N23" s="1282" t="e">
        <f t="shared" ref="N23:O23" si="21">+N20-N22</f>
        <v>#DIV/0!</v>
      </c>
      <c r="O23" s="1294" t="e">
        <f t="shared" si="21"/>
        <v>#DIV/0!</v>
      </c>
      <c r="Q23" s="1278" t="s">
        <v>3323</v>
      </c>
      <c r="R23" s="1299">
        <f>+R20-R22</f>
        <v>1670.8634071189394</v>
      </c>
      <c r="S23" s="1280" t="e">
        <f t="shared" ref="S23:T23" si="22">+S20-S22</f>
        <v>#DIV/0!</v>
      </c>
      <c r="T23" s="1280" t="e">
        <f t="shared" si="22"/>
        <v>#DIV/0!</v>
      </c>
    </row>
    <row r="24" spans="2:20" ht="15.75" thickTop="1"/>
    <row r="25" spans="2:20">
      <c r="C25" s="1295" t="s">
        <v>3324</v>
      </c>
      <c r="E25" s="1296" t="e">
        <f>+E5/E20</f>
        <v>#DIV/0!</v>
      </c>
      <c r="H25" s="1295" t="s">
        <v>3324</v>
      </c>
      <c r="J25" s="1296" t="e">
        <f>+J5/J20</f>
        <v>#DIV/0!</v>
      </c>
      <c r="M25" s="1295" t="s">
        <v>3324</v>
      </c>
      <c r="O25" s="1296" t="e">
        <f>+O5/O20</f>
        <v>#DIV/0!</v>
      </c>
      <c r="Q25" s="1296"/>
      <c r="R25" s="1295" t="s">
        <v>3324</v>
      </c>
      <c r="T25" s="1296" t="e">
        <f>+T5/T20</f>
        <v>#DIV/0!</v>
      </c>
    </row>
    <row r="26" spans="2:20">
      <c r="C26" s="1295" t="s">
        <v>3325</v>
      </c>
      <c r="E26" s="1286" t="e">
        <f>+E5/E21</f>
        <v>#DIV/0!</v>
      </c>
      <c r="H26" s="1295" t="s">
        <v>3325</v>
      </c>
      <c r="J26" s="1286" t="e">
        <f>+J5/J21</f>
        <v>#DIV/0!</v>
      </c>
      <c r="M26" s="1295" t="s">
        <v>3325</v>
      </c>
      <c r="O26" s="1286" t="e">
        <f>+O5/O21</f>
        <v>#DIV/0!</v>
      </c>
      <c r="Q26" s="1286"/>
      <c r="R26" s="1295" t="s">
        <v>3325</v>
      </c>
      <c r="T26" s="1286" t="e">
        <f>+T5/T21</f>
        <v>#DIV/0!</v>
      </c>
    </row>
    <row r="27" spans="2:20">
      <c r="C27" s="1295" t="s">
        <v>3326</v>
      </c>
      <c r="E27" s="1296" t="e">
        <f>+E5/E22</f>
        <v>#DIV/0!</v>
      </c>
      <c r="H27" s="1295" t="s">
        <v>3326</v>
      </c>
      <c r="J27" s="1296" t="e">
        <f>+J5/J22</f>
        <v>#DIV/0!</v>
      </c>
      <c r="M27" s="1295" t="s">
        <v>3326</v>
      </c>
      <c r="O27" s="1296" t="e">
        <f>+O5/O22</f>
        <v>#DIV/0!</v>
      </c>
      <c r="Q27" s="1296"/>
      <c r="R27" s="1295" t="s">
        <v>3326</v>
      </c>
      <c r="T27" s="1296" t="e">
        <f>+T5/T22</f>
        <v>#DIV/0!</v>
      </c>
    </row>
    <row r="28" spans="2:20" ht="7.5" customHeight="1"/>
    <row r="29" spans="2:20">
      <c r="C29" s="1295" t="s">
        <v>3327</v>
      </c>
      <c r="E29" s="1296" t="e">
        <f>+E27-E25</f>
        <v>#DIV/0!</v>
      </c>
      <c r="F29" s="1297"/>
      <c r="G29" s="1297"/>
      <c r="H29" s="1295" t="s">
        <v>3327</v>
      </c>
      <c r="J29" s="1296" t="e">
        <f>+J27-J25</f>
        <v>#DIV/0!</v>
      </c>
      <c r="M29" s="1295" t="s">
        <v>3327</v>
      </c>
      <c r="O29" s="1296" t="e">
        <f>+O27-O25</f>
        <v>#DIV/0!</v>
      </c>
      <c r="Q29" s="1297"/>
      <c r="R29" s="1295" t="s">
        <v>3327</v>
      </c>
      <c r="T29" s="1296" t="e">
        <f>+T27-T25</f>
        <v>#DIV/0!</v>
      </c>
    </row>
    <row r="31" spans="2:20">
      <c r="B31" s="1392" t="s">
        <v>3433</v>
      </c>
      <c r="C31" s="1393"/>
      <c r="D31" s="1394"/>
      <c r="G31" s="1392" t="s">
        <v>3433</v>
      </c>
      <c r="H31" s="1393"/>
      <c r="I31" s="1394"/>
    </row>
    <row r="32" spans="2:20">
      <c r="B32" s="1386" t="s">
        <v>3432</v>
      </c>
      <c r="C32" s="1388">
        <f>+C17</f>
        <v>-69.049185871171147</v>
      </c>
      <c r="D32" s="1275">
        <f>+E32/C32</f>
        <v>1045.3020429362036</v>
      </c>
      <c r="E32" s="1275">
        <f>+Print_Mois!N78</f>
        <v>-72177.255054216846</v>
      </c>
      <c r="G32" s="1385"/>
      <c r="H32" s="1283"/>
      <c r="I32" s="1275"/>
      <c r="J32" s="1275"/>
    </row>
    <row r="33" spans="2:10">
      <c r="B33" s="1387" t="s">
        <v>3434</v>
      </c>
      <c r="C33" s="1388">
        <f>+C17</f>
        <v>-69.049185871171147</v>
      </c>
      <c r="D33" s="1275">
        <f>+E33/C33</f>
        <v>359.1</v>
      </c>
      <c r="E33" s="1275">
        <f>+Print_Mois!N82</f>
        <v>-24795.562646337559</v>
      </c>
      <c r="G33" s="1387" t="s">
        <v>3434</v>
      </c>
      <c r="H33" s="1388">
        <f>+H17</f>
        <v>-66.137647503380293</v>
      </c>
      <c r="I33" s="1275">
        <f>+J33/H33</f>
        <v>192.01227698056661</v>
      </c>
      <c r="J33" s="1275">
        <f>+Print_Mois!N158</f>
        <v>-12699.240291262136</v>
      </c>
    </row>
    <row r="34" spans="2:10" ht="15.75" thickBot="1">
      <c r="E34" s="1280">
        <f>SUM(E32:E33)</f>
        <v>-96972.817700554413</v>
      </c>
      <c r="J34" s="1280">
        <f>SUM(J32:J33)</f>
        <v>-12699.240291262136</v>
      </c>
    </row>
    <row r="35" spans="2:10" ht="15.75" thickTop="1">
      <c r="G35" s="1385"/>
      <c r="H35" s="1283"/>
      <c r="I35" s="1275"/>
      <c r="J35" s="1275"/>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+Print_Mois!J294</f>
        <v>0</v>
      </c>
      <c r="C4" s="1337" t="e">
        <f>D4/B4</f>
        <v>#DIV/0!</v>
      </c>
      <c r="D4" s="1345">
        <f>+Print_Mois!L294</f>
        <v>0</v>
      </c>
      <c r="F4" s="1345">
        <f>+Print_Mois!G294</f>
        <v>149473.11647677055</v>
      </c>
      <c r="G4" s="1337">
        <f>H4/F4</f>
        <v>0.35811007851031496</v>
      </c>
      <c r="H4" s="1345">
        <f>+Print_Mois!I294</f>
        <v>53527.829476677754</v>
      </c>
      <c r="I4" s="1346"/>
      <c r="J4" s="1347">
        <f t="shared" ref="J4:J11" si="0">+D4-H4</f>
        <v>-53527.829476677754</v>
      </c>
      <c r="L4" s="1347">
        <f t="shared" ref="L4:L9" si="1">(B4-F4)*G4</f>
        <v>-53527.829476677754</v>
      </c>
      <c r="N4" s="1347" t="e">
        <f t="shared" ref="N4:N9" si="2">B4*(C4-G4)</f>
        <v>#DIV/0!</v>
      </c>
    </row>
    <row r="5" spans="1:14">
      <c r="A5" s="1341" t="s">
        <v>178</v>
      </c>
      <c r="B5" s="1345">
        <f>+Print_Mois!J295</f>
        <v>0</v>
      </c>
      <c r="C5" s="1337" t="e">
        <f t="shared" ref="C5:C9" si="3">D5/B5</f>
        <v>#DIV/0!</v>
      </c>
      <c r="D5" s="1345">
        <f>+Print_Mois!L295</f>
        <v>0</v>
      </c>
      <c r="F5" s="1345">
        <f>+Print_Mois!G295</f>
        <v>57225.564745148426</v>
      </c>
      <c r="G5" s="1337">
        <f t="shared" ref="G5:G9" si="4">H5/F5</f>
        <v>0.2571723304036081</v>
      </c>
      <c r="H5" s="1345">
        <f>+Print_Mois!I295</f>
        <v>14716.831844172379</v>
      </c>
      <c r="I5" s="1346"/>
      <c r="J5" s="1347">
        <f t="shared" si="0"/>
        <v>-14716.831844172379</v>
      </c>
      <c r="L5" s="1347">
        <f t="shared" si="1"/>
        <v>-14716.831844172379</v>
      </c>
      <c r="N5" s="1347" t="e">
        <f t="shared" si="2"/>
        <v>#DIV/0!</v>
      </c>
    </row>
    <row r="6" spans="1:14">
      <c r="A6" s="1341" t="s">
        <v>179</v>
      </c>
      <c r="B6" s="1345">
        <f>+Print_Mois!J296</f>
        <v>0</v>
      </c>
      <c r="C6" s="1337" t="e">
        <f t="shared" si="3"/>
        <v>#DIV/0!</v>
      </c>
      <c r="D6" s="1345">
        <f>+Print_Mois!L296</f>
        <v>0</v>
      </c>
      <c r="F6" s="1345">
        <f>+Print_Mois!G296</f>
        <v>52760.337024139764</v>
      </c>
      <c r="G6" s="1337">
        <f t="shared" si="4"/>
        <v>0.24177651145507992</v>
      </c>
      <c r="H6" s="1345">
        <f>+Print_Mois!I296</f>
        <v>12756.210228890805</v>
      </c>
      <c r="I6" s="1346"/>
      <c r="J6" s="1347">
        <f t="shared" si="0"/>
        <v>-12756.210228890805</v>
      </c>
      <c r="L6" s="1347">
        <f t="shared" si="1"/>
        <v>-12756.210228890805</v>
      </c>
      <c r="N6" s="1347" t="e">
        <f t="shared" si="2"/>
        <v>#DIV/0!</v>
      </c>
    </row>
    <row r="7" spans="1:14">
      <c r="A7" s="1341" t="s">
        <v>180</v>
      </c>
      <c r="B7" s="1345">
        <f>+Print_Mois!J297</f>
        <v>0</v>
      </c>
      <c r="C7" s="1337" t="e">
        <f t="shared" si="3"/>
        <v>#DIV/0!</v>
      </c>
      <c r="D7" s="1345">
        <f>+Print_Mois!L297</f>
        <v>0</v>
      </c>
      <c r="F7" s="1345">
        <f>+Print_Mois!G297</f>
        <v>63915.671014614694</v>
      </c>
      <c r="G7" s="1337">
        <f t="shared" si="4"/>
        <v>0.32393223852119107</v>
      </c>
      <c r="H7" s="1345">
        <f>+Print_Mois!I297</f>
        <v>20704.346388348145</v>
      </c>
      <c r="I7" s="1346"/>
      <c r="J7" s="1347">
        <f t="shared" si="0"/>
        <v>-20704.346388348145</v>
      </c>
      <c r="L7" s="1347">
        <f t="shared" si="1"/>
        <v>-20704.346388348145</v>
      </c>
      <c r="N7" s="1347" t="e">
        <f t="shared" si="2"/>
        <v>#DIV/0!</v>
      </c>
    </row>
    <row r="8" spans="1:14">
      <c r="A8" s="1341" t="s">
        <v>181</v>
      </c>
      <c r="B8" s="1345">
        <f>+Print_Mois!J298</f>
        <v>0</v>
      </c>
      <c r="C8" s="1337" t="e">
        <f t="shared" si="3"/>
        <v>#DIV/0!</v>
      </c>
      <c r="D8" s="1345">
        <f>+Print_Mois!L298</f>
        <v>0</v>
      </c>
      <c r="F8" s="1345">
        <f>+Print_Mois!G298</f>
        <v>25087.796549504917</v>
      </c>
      <c r="G8" s="1337">
        <f t="shared" si="4"/>
        <v>0.28113730707120016</v>
      </c>
      <c r="H8" s="1345">
        <f>+Print_Mois!I298</f>
        <v>7053.1155622779597</v>
      </c>
      <c r="I8" s="1346"/>
      <c r="J8" s="1347">
        <f t="shared" si="0"/>
        <v>-7053.1155622779597</v>
      </c>
      <c r="L8" s="1347">
        <f t="shared" si="1"/>
        <v>-7053.1155622779597</v>
      </c>
      <c r="N8" s="1347" t="e">
        <f t="shared" si="2"/>
        <v>#DIV/0!</v>
      </c>
    </row>
    <row r="9" spans="1:14">
      <c r="A9" s="1341" t="s">
        <v>182</v>
      </c>
      <c r="B9" s="1345">
        <f>+Print_Mois!J299</f>
        <v>0</v>
      </c>
      <c r="C9" s="1337" t="e">
        <f t="shared" si="3"/>
        <v>#DIV/0!</v>
      </c>
      <c r="D9" s="1345">
        <f>+Print_Mois!L299</f>
        <v>0</v>
      </c>
      <c r="F9" s="1345">
        <f>+Print_Mois!G299</f>
        <v>56903.922574518627</v>
      </c>
      <c r="G9" s="1337">
        <f t="shared" si="4"/>
        <v>0.18194830719212418</v>
      </c>
      <c r="H9" s="1345">
        <f>+Print_Mois!I299</f>
        <v>10353.572385025365</v>
      </c>
      <c r="I9" s="1346"/>
      <c r="J9" s="1347">
        <f t="shared" si="0"/>
        <v>-10353.572385025365</v>
      </c>
      <c r="L9" s="1347">
        <f t="shared" si="1"/>
        <v>-10353.572385025365</v>
      </c>
      <c r="N9" s="1347" t="e">
        <f t="shared" si="2"/>
        <v>#DIV/0!</v>
      </c>
    </row>
    <row r="10" spans="1:14">
      <c r="A10" s="1341" t="s">
        <v>183</v>
      </c>
      <c r="B10" s="1345"/>
      <c r="C10" s="1337"/>
      <c r="D10" s="1345">
        <f>+Print_Mois!L301</f>
        <v>0</v>
      </c>
      <c r="F10" s="1345"/>
      <c r="G10" s="1337"/>
      <c r="H10" s="1345">
        <f>+Print_Mois!I301</f>
        <v>6717.8589733976969</v>
      </c>
      <c r="I10" s="1346"/>
      <c r="J10" s="1347">
        <f t="shared" si="0"/>
        <v>-6717.8589733976969</v>
      </c>
      <c r="L10" s="1347">
        <f>(H10/(H4+H5+H6+H7+H8+H9)*(D4+D5+D6+D7+D8+D9))-D10</f>
        <v>0</v>
      </c>
      <c r="N10" s="1347">
        <f>+J10-L10</f>
        <v>-6717.8589733976969</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405366.40838469693</v>
      </c>
      <c r="G12" s="1349">
        <f>+H12/F12</f>
        <v>0.31040994580729137</v>
      </c>
      <c r="H12" s="1348">
        <f>SUM(H4:H11)</f>
        <v>125829.76485879012</v>
      </c>
      <c r="J12" s="1348">
        <f>SUM(J4:J11)</f>
        <v>-125829.76485879012</v>
      </c>
      <c r="L12" s="1348">
        <f>SUM(L4:L11)</f>
        <v>-119111.90588539242</v>
      </c>
      <c r="N12" s="1348" t="e">
        <f>SUM(N4:N11)</f>
        <v>#DIV/0!</v>
      </c>
    </row>
    <row r="13" spans="1:14">
      <c r="B13" s="1347"/>
      <c r="C13" s="1350"/>
      <c r="D13" s="1347"/>
      <c r="F13" s="1347"/>
      <c r="G13" s="1350"/>
      <c r="H13" s="1347"/>
      <c r="J13" s="1347"/>
      <c r="L13" s="1347"/>
      <c r="N13" s="1347"/>
    </row>
    <row r="14" spans="1:14">
      <c r="A14" s="1341" t="s">
        <v>186</v>
      </c>
      <c r="B14" s="1345">
        <f>+Print_Mois!J306</f>
        <v>0</v>
      </c>
      <c r="C14" s="1337" t="e">
        <f t="shared" ref="C14:C15" si="6">D14/B14</f>
        <v>#DIV/0!</v>
      </c>
      <c r="D14" s="1345">
        <f>+Print_Mois!L306</f>
        <v>0</v>
      </c>
      <c r="F14" s="1345">
        <f>+Print_Mois!G306</f>
        <v>109688.00715738688</v>
      </c>
      <c r="G14" s="1337">
        <f t="shared" ref="G14:G15" si="7">H14/F14</f>
        <v>0.1816444838198383</v>
      </c>
      <c r="H14" s="1345">
        <f>+Print_Mois!I306</f>
        <v>19924.221441330268</v>
      </c>
      <c r="I14" s="1346"/>
      <c r="J14" s="1347">
        <f>+D14-H14</f>
        <v>-19924.221441330268</v>
      </c>
      <c r="L14" s="1347">
        <f>(B14-F14)*G14</f>
        <v>-19924.221441330268</v>
      </c>
      <c r="N14" s="1347" t="e">
        <f>B14*(C14-G14)</f>
        <v>#DIV/0!</v>
      </c>
    </row>
    <row r="15" spans="1:14">
      <c r="A15" s="1341" t="s">
        <v>187</v>
      </c>
      <c r="B15" s="1345">
        <f>+Print_Mois!J307</f>
        <v>0</v>
      </c>
      <c r="C15" s="1337" t="e">
        <f t="shared" si="6"/>
        <v>#DIV/0!</v>
      </c>
      <c r="D15" s="1345">
        <f>+Print_Mois!L307</f>
        <v>0</v>
      </c>
      <c r="F15" s="1345">
        <f>+Print_Mois!G307</f>
        <v>30020.764181026705</v>
      </c>
      <c r="G15" s="1337">
        <f t="shared" si="7"/>
        <v>0.29130399895825637</v>
      </c>
      <c r="H15" s="1345">
        <f>+Print_Mois!I307</f>
        <v>8745.1686577158634</v>
      </c>
      <c r="I15" s="1346"/>
      <c r="J15" s="1347">
        <f>+D15-H15</f>
        <v>-8745.1686577158634</v>
      </c>
      <c r="L15" s="1347">
        <f>(B15-F15)*G15</f>
        <v>-8745.1686577158634</v>
      </c>
      <c r="N15" s="1347" t="e">
        <f>B15*(C15-G15)</f>
        <v>#DIV/0!</v>
      </c>
    </row>
    <row r="16" spans="1:14">
      <c r="A16" s="1341" t="s">
        <v>188</v>
      </c>
      <c r="B16" s="1351">
        <f>SUM(B14:B15)</f>
        <v>0</v>
      </c>
      <c r="C16" s="1352" t="e">
        <f>+D16/B16</f>
        <v>#DIV/0!</v>
      </c>
      <c r="D16" s="1351">
        <f>SUM(D14:D15)</f>
        <v>0</v>
      </c>
      <c r="F16" s="1351">
        <f>SUM(F14:F15)</f>
        <v>139708.77133841359</v>
      </c>
      <c r="G16" s="1352">
        <f>+H16/F16</f>
        <v>0.20520823298632324</v>
      </c>
      <c r="H16" s="1351">
        <f>SUM(H14:H15)</f>
        <v>28669.390099046133</v>
      </c>
      <c r="J16" s="1351">
        <f>SUM(J14:J15)</f>
        <v>-28669.390099046133</v>
      </c>
      <c r="L16" s="1351">
        <f>SUM(L14:L15)</f>
        <v>-28669.390099046133</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545075.17972311052</v>
      </c>
      <c r="G18" s="1354">
        <f>+H18/F18</f>
        <v>0.28344558825136629</v>
      </c>
      <c r="H18" s="1353">
        <f>+H12+H16</f>
        <v>154499.15495783626</v>
      </c>
      <c r="J18" s="1353">
        <f>+J12+J16</f>
        <v>-154499.15495783626</v>
      </c>
      <c r="L18" s="1353">
        <f>+L12+L16</f>
        <v>-147781.29598443856</v>
      </c>
      <c r="N18" s="1353" t="e">
        <f>+N12+N16</f>
        <v>#DIV/0!</v>
      </c>
    </row>
    <row r="19" spans="1:14" ht="15.75" thickTop="1"/>
    <row r="20" spans="1:14" ht="15.75" thickBot="1">
      <c r="D20" s="1355"/>
      <c r="E20" s="1356" t="s">
        <v>3416</v>
      </c>
      <c r="F20" s="1353">
        <f>+B18-F18</f>
        <v>-545075.17972311052</v>
      </c>
      <c r="N20" s="1355"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abSelected="1" topLeftCell="T454" zoomScale="70" zoomScaleNormal="70" workbookViewId="0">
      <selection activeCell="AL500" sqref="AL500"/>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Novembre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31332852.084176615</v>
      </c>
      <c r="G5" s="304"/>
      <c r="H5" s="416"/>
      <c r="I5" s="620">
        <f>+SUMPRODUCT(('Budget révisé'!$A$8:$A$500=$A5)*('Budget révisé'!$C$3:$AO$3=I$2),'Budget révisé'!$C$8:$AO$500)</f>
        <v>31332852.084176615</v>
      </c>
      <c r="J5" s="304"/>
      <c r="K5" s="178"/>
      <c r="L5" s="171">
        <f>-SUMIFS(BV_Data_An_Cour!$Q:$Q,BV_Data_An_Cour!$Y:$Y,"Oui",BV_Data_An_Cour!$V:$V,$B5)</f>
        <v>0</v>
      </c>
      <c r="M5" s="417"/>
      <c r="N5" s="418"/>
      <c r="O5" s="304"/>
      <c r="P5" s="178"/>
      <c r="Q5" s="171">
        <f>-SUMIFS(BV_Data_An_Prec!$P:$P,BV_Data_An_Prec!$X:$X,"Oui",BV_Data_An_Prec!$U:$U,$B5)</f>
        <v>32284761.809999995</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159.90361445783131</v>
      </c>
      <c r="E6" s="173">
        <f>IF(D6=0,0,F6/D6)</f>
        <v>1450.6297619047621</v>
      </c>
      <c r="F6" s="173">
        <f>+SUMPRODUCT(('Budget original'!$A$8:$A$500=$A6)*('Budget original'!$C$3:$AO$3=F$2),'Budget original'!$C$8:$AO$500)</f>
        <v>231960.94216867469</v>
      </c>
      <c r="G6" s="176">
        <f>+SUMPRODUCT(('Budget révisé'!$A$8:$A$500=$A6)*('Budget révisé'!$C$3:$AO$3=G$2),'Budget révisé'!$C$8:$AO$500)</f>
        <v>159.90361445783131</v>
      </c>
      <c r="H6" s="173">
        <f>IF(G6=0,0,I6/G6)</f>
        <v>1450.6297619047621</v>
      </c>
      <c r="I6" s="173">
        <f>+SUMPRODUCT(('Budget révisé'!$A$8:$A$500=$A6)*('Budget révisé'!$C$3:$AO$3=I$2),'Budget révisé'!$C$8:$AO$500)</f>
        <v>231960.94216867469</v>
      </c>
      <c r="J6" s="176">
        <f>-SUMIFS(BV_Data_An_Cour!$Q:$Q,BV_Data_An_Cour!$V:$V,$B6,BV_Data_An_Cour!$W:$W,$C6,BV_Data_An_Cour!$X:$X,J$2)</f>
        <v>0</v>
      </c>
      <c r="K6" s="173">
        <f>IF(J6=0,0,L6/J6)</f>
        <v>0</v>
      </c>
      <c r="L6" s="548">
        <f>-SUMIFS(BV_Data_An_Cour!$Q:$Q,BV_Data_An_Cour!$V:$V,$B6,BV_Data_An_Cour!$W:$W,$C6,BV_Data_An_Cour!$X:$X,L$2)</f>
        <v>0</v>
      </c>
      <c r="M6" s="176">
        <f t="shared" ref="M6" si="2">J6-G6</f>
        <v>-159.90361445783131</v>
      </c>
      <c r="N6" s="174">
        <f>L6-I6</f>
        <v>-231960.94216867469</v>
      </c>
      <c r="O6" s="1011">
        <f>-SUMIFS(BV_Data_An_Prec!$P:$P,BV_Data_An_Prec!$U:$U,$B6,BV_Data_An_Prec!$V:$V,$C6,BV_Data_An_Prec!$W:$W,O$2)</f>
        <v>238</v>
      </c>
      <c r="P6" s="173">
        <f>IF(O6=0,0,Q6/O6)</f>
        <v>1105.3082352941155</v>
      </c>
      <c r="Q6" s="548">
        <f>-SUMIFS(BV_Data_An_Prec!$P:$P,BV_Data_An_Prec!$U:$U,$B6,BV_Data_An_Prec!$V:$V,$C6,BV_Data_An_Prec!$W:$W,Q$2)</f>
        <v>263063.35999999952</v>
      </c>
      <c r="R6" s="176">
        <f t="shared" ref="R6" si="3">J6-O6</f>
        <v>-238</v>
      </c>
      <c r="S6" s="393">
        <f t="shared" ref="S6" si="4">L6-Q6</f>
        <v>-263063.35999999952</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552.04819277108436</v>
      </c>
      <c r="E7" s="173">
        <f t="shared" ref="E7:E12" si="6">IF(D7=0,0,F7/D7)</f>
        <v>2081.8275862068963</v>
      </c>
      <c r="F7" s="173">
        <f>+SUMPRODUCT(('Budget original'!$A$8:$A$500=$A7)*('Budget original'!$C$3:$AO$3=F$2),'Budget original'!$C$8:$AO$500)</f>
        <v>1149269.156626506</v>
      </c>
      <c r="G7" s="176">
        <f>+SUMPRODUCT(('Budget révisé'!$A$8:$A$500=$A7)*('Budget révisé'!$C$3:$AO$3=G$2),'Budget révisé'!$C$8:$AO$500)</f>
        <v>552.04819277108436</v>
      </c>
      <c r="H7" s="173">
        <f t="shared" ref="H7:H12" si="7">IF(G7=0,0,I7/G7)</f>
        <v>2081.8275862068963</v>
      </c>
      <c r="I7" s="173">
        <f>+SUMPRODUCT(('Budget révisé'!$A$8:$A$500=$A7)*('Budget révisé'!$C$3:$AO$3=I$2),'Budget révisé'!$C$8:$AO$500)</f>
        <v>1149269.156626506</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-552.04819277108436</v>
      </c>
      <c r="N7" s="174">
        <f t="shared" ref="N7:N12" si="10">L7-I7</f>
        <v>-1149269.156626506</v>
      </c>
      <c r="O7" s="176">
        <f>-SUMIFS(BV_Data_An_Prec!$P:$P,BV_Data_An_Prec!$U:$U,$B7,BV_Data_An_Prec!$V:$V,$C7,BV_Data_An_Prec!$W:$W,O$2)</f>
        <v>427</v>
      </c>
      <c r="P7" s="173">
        <f t="shared" ref="P7:P12" si="11">IF(O7=0,0,Q7/O7)</f>
        <v>2274.6422014051536</v>
      </c>
      <c r="Q7" s="548">
        <f>-SUMIFS(BV_Data_An_Prec!$P:$P,BV_Data_An_Prec!$U:$U,$B7,BV_Data_An_Prec!$V:$V,$C7,BV_Data_An_Prec!$W:$W,Q$2)</f>
        <v>971272.22000000067</v>
      </c>
      <c r="R7" s="176">
        <f t="shared" ref="R7:R12" si="12">J7-O7</f>
        <v>-427</v>
      </c>
      <c r="S7" s="393">
        <f t="shared" ref="S7:S12" si="13">L7-Q7</f>
        <v>-971272.22000000067</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711.95180722891564</v>
      </c>
      <c r="E13" s="395">
        <f>IF(D13&lt;=0,0,F13/D13)</f>
        <v>1940.061229946524</v>
      </c>
      <c r="F13" s="396">
        <f>+SUM(F6:F12)</f>
        <v>1381230.0987951807</v>
      </c>
      <c r="G13" s="397">
        <f>+SUM(G6:G12)</f>
        <v>711.95180722891564</v>
      </c>
      <c r="H13" s="395">
        <f>IF(G13&lt;=0,0,I13/G13)</f>
        <v>1940.061229946524</v>
      </c>
      <c r="I13" s="396">
        <f>+SUM(I6:I12)</f>
        <v>1381230.0987951807</v>
      </c>
      <c r="J13" s="397">
        <f>+SUM(J6:J12)</f>
        <v>0</v>
      </c>
      <c r="K13" s="395">
        <f>IF(J13&lt;=0,0,L13/J13)</f>
        <v>0</v>
      </c>
      <c r="L13" s="396">
        <f>+SUM(L6:L12)</f>
        <v>0</v>
      </c>
      <c r="M13" s="397">
        <f>+SUM(M6:M12)</f>
        <v>-711.95180722891564</v>
      </c>
      <c r="N13" s="396">
        <f>+SUM(N6:N12)</f>
        <v>-1381230.0987951807</v>
      </c>
      <c r="O13" s="397">
        <f>+SUM(O6:O12)</f>
        <v>665</v>
      </c>
      <c r="P13" s="395">
        <f>IF(O13&lt;=0,0,Q13/O13)</f>
        <v>1856.1437293233084</v>
      </c>
      <c r="Q13" s="396">
        <f>+SUM(Q6:Q12)</f>
        <v>1234335.58</v>
      </c>
      <c r="R13" s="397">
        <f>+SUM(R6:R12)</f>
        <v>-665</v>
      </c>
      <c r="S13" s="398">
        <f>+SUM(S6:S12)</f>
        <v>-1234335.58</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66.626506024096372</v>
      </c>
      <c r="E15" s="178">
        <f t="shared" ref="E15" si="15">IF(D15=0,0,F15/D15)</f>
        <v>1386.1016187312016</v>
      </c>
      <c r="F15" s="171">
        <f>+SUMPRODUCT(('Budget original'!$A$8:$A$500=$A15)*('Budget original'!$C$3:$AO$3=F$2),'Budget original'!$C$8:$AO$500)</f>
        <v>92351.107850404136</v>
      </c>
      <c r="G15" s="177">
        <f>+SUMPRODUCT(('Budget révisé'!$A$8:$A$500=$A15)*('Budget révisé'!$C$3:$AO$3=G$2),'Budget révisé'!$C$8:$AO$500)</f>
        <v>66.626506024096372</v>
      </c>
      <c r="H15" s="401">
        <f t="shared" ref="H15" si="16">IF(G15=0,0,I15/G15)</f>
        <v>1386.1016187312016</v>
      </c>
      <c r="I15" s="399">
        <f>+SUMPRODUCT(('Budget révisé'!$A$8:$A$500=$A15)*('Budget révisé'!$C$3:$AO$3=I$2),'Budget révisé'!$C$8:$AO$500)</f>
        <v>92351.107850404136</v>
      </c>
      <c r="J15" s="542">
        <f>-SUMIFS(BV_Data_An_Cour!$Q:$Q,BV_Data_An_Cour!$V:$V,$B15,BV_Data_An_Cour!$W:$W,$C15,BV_Data_An_Cour!$X:$X,J$2)</f>
        <v>0</v>
      </c>
      <c r="K15" s="543">
        <f>IF(J15=0,0,L15/J15)</f>
        <v>0</v>
      </c>
      <c r="L15" s="543">
        <f>-SUMIFS(BV_Data_An_Cour!$Q:$Q,BV_Data_An_Cour!$V:$V,$B15,BV_Data_An_Cour!$W:$W,$C15,BV_Data_An_Cour!$X:$X,L$2)</f>
        <v>0</v>
      </c>
      <c r="M15" s="400">
        <f>J15-G15</f>
        <v>-66.626506024096372</v>
      </c>
      <c r="N15" s="399">
        <f>L15-I15</f>
        <v>-92351.107850404136</v>
      </c>
      <c r="O15" s="542">
        <f>-SUMIFS(BV_Data_An_Prec!$P:$P,BV_Data_An_Prec!$U:$U,$B15,BV_Data_An_Prec!$V:$V,$C15,BV_Data_An_Prec!$W:$W,O$2)</f>
        <v>93</v>
      </c>
      <c r="P15" s="543">
        <f>IF(O15=0,0,Q15/O15)</f>
        <v>1475.1497849462335</v>
      </c>
      <c r="Q15" s="543">
        <f>-SUMIFS(BV_Data_An_Prec!$P:$P,BV_Data_An_Prec!$U:$U,$B15,BV_Data_An_Prec!$V:$V,$C15,BV_Data_An_Prec!$W:$W,Q$2)</f>
        <v>137188.9299999997</v>
      </c>
      <c r="R15" s="400">
        <f>J15-O15</f>
        <v>-93</v>
      </c>
      <c r="S15" s="421">
        <f>L15-Q15</f>
        <v>-137188.9299999997</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11.393173198482932</v>
      </c>
      <c r="E17" s="173">
        <f t="shared" ref="E17" si="17">IF(D17=0,0,F17/D17)</f>
        <v>1938.8731623598242</v>
      </c>
      <c r="F17" s="173">
        <f>+SUMPRODUCT(('Budget original'!$A$8:$A$500=$A17)*('Budget original'!$C$3:$AO$3=F$2),'Budget original'!$C$8:$AO$500)</f>
        <v>22089.917748655796</v>
      </c>
      <c r="G17" s="176">
        <f>+SUMPRODUCT(('Budget révisé'!$A$8:$A$500=$A17)*('Budget révisé'!$C$3:$AO$3=G$2),'Budget révisé'!$C$8:$AO$500)</f>
        <v>11.393173198482932</v>
      </c>
      <c r="H17" s="173">
        <f t="shared" ref="H17" si="18">IF(G17=0,0,I17/G17)</f>
        <v>1938.8731623598242</v>
      </c>
      <c r="I17" s="173">
        <f>+SUMPRODUCT(('Budget révisé'!$A$8:$A$500=$A17)*('Budget révisé'!$C$3:$AO$3=I$2),'Budget révisé'!$C$8:$AO$500)</f>
        <v>22089.917748655796</v>
      </c>
      <c r="J17" s="400">
        <f>-SUMIFS(BV_Data_An_Cour!$Q:$Q,BV_Data_An_Cour!$V:$V,$B17,BV_Data_An_Cour!$W:$W,$C17,BV_Data_An_Cour!$X:$X,J$2)</f>
        <v>0</v>
      </c>
      <c r="K17" s="173">
        <f>IF(J17=0,0,L17/J17)</f>
        <v>0</v>
      </c>
      <c r="L17" s="174">
        <f>-SUMIFS(BV_Data_An_Cour!$Q:$Q,BV_Data_An_Cour!$V:$V,$B17,BV_Data_An_Cour!$W:$W,$C17,BV_Data_An_Cour!$X:$X,L$2)</f>
        <v>0</v>
      </c>
      <c r="M17" s="400">
        <f>J17-G17</f>
        <v>-11.393173198482932</v>
      </c>
      <c r="N17" s="174">
        <f>L17-I17</f>
        <v>-22089.917748655796</v>
      </c>
      <c r="O17" s="400">
        <f>-SUMIFS(BV_Data_An_Prec!$P:$P,BV_Data_An_Prec!$U:$U,$B17,BV_Data_An_Prec!$V:$V,$C17,BV_Data_An_Prec!$W:$W,O$2)</f>
        <v>20</v>
      </c>
      <c r="P17" s="173">
        <f>IF(O17=0,0,Q17/O17)</f>
        <v>1703.3530000000028</v>
      </c>
      <c r="Q17" s="174">
        <f>-SUMIFS(BV_Data_An_Prec!$P:$P,BV_Data_An_Prec!$U:$U,$B17,BV_Data_An_Prec!$V:$V,$C17,BV_Data_An_Prec!$W:$W,Q$2)</f>
        <v>34067.060000000056</v>
      </c>
      <c r="R17" s="176">
        <f>J17-O17</f>
        <v>-20</v>
      </c>
      <c r="S17" s="393">
        <f>L17-Q17</f>
        <v>-34067.060000000056</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7">
        <f>+I27+I107</f>
        <v>3680195.3031344861</v>
      </c>
      <c r="X18" s="1397">
        <f>+L27+L107</f>
        <v>0</v>
      </c>
      <c r="Y18" s="1397">
        <f>+X18-W18</f>
        <v>-3680195.3031344861</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65925.638519999993</v>
      </c>
      <c r="G19" s="176">
        <f>+SUMPRODUCT(('Budget révisé'!$A$8:$A$500=$A19)*('Budget révisé'!$C$3:$AO$3=G$2),'Budget révisé'!$C$8:$AO$500)</f>
        <v>0</v>
      </c>
      <c r="H19" s="173">
        <f t="shared" ref="H19" si="20">IF(G19=0,0,I19/G19)</f>
        <v>0</v>
      </c>
      <c r="I19" s="173">
        <f>+SUMPRODUCT(('Budget révisé'!$A$8:$A$500=$A19)*('Budget révisé'!$C$3:$AO$3=I$2),'Budget révisé'!$C$8:$AO$500)</f>
        <v>65925.638519999993</v>
      </c>
      <c r="J19" s="177"/>
      <c r="K19" s="173"/>
      <c r="L19" s="174">
        <f>-SUMIFS(BV_Data_An_Cour!$Q:$Q,BV_Data_An_Cour!$V:$V,$B19,BV_Data_An_Cour!$W:$W,$C19,BV_Data_An_Cour!$X:$X,L$2)</f>
        <v>0</v>
      </c>
      <c r="M19" s="176"/>
      <c r="N19" s="174">
        <f>L19-I19</f>
        <v>-65925.638519999993</v>
      </c>
      <c r="O19" s="177"/>
      <c r="P19" s="173"/>
      <c r="Q19" s="174">
        <f>-SUMIFS(BV_Data_An_Prec!$P:$P,BV_Data_An_Prec!$U:$U,$B19,BV_Data_An_Prec!$V:$V,$C19,BV_Data_An_Prec!$W:$W,Q$2)</f>
        <v>64880.600000000093</v>
      </c>
      <c r="R19" s="176">
        <f>O19-K19</f>
        <v>0</v>
      </c>
      <c r="S19" s="393">
        <f>L19-Q19</f>
        <v>-64880.600000000093</v>
      </c>
      <c r="T19" s="216"/>
      <c r="U19" s="216"/>
      <c r="V19" s="508" t="s">
        <v>3297</v>
      </c>
      <c r="W19" s="1397">
        <f>+I193+I249+I313</f>
        <v>3491004.7918960452</v>
      </c>
      <c r="X19" s="1397">
        <f>+L193+L249+L313</f>
        <v>0</v>
      </c>
      <c r="Y19" s="1397">
        <f>+X19-W19</f>
        <v>-3491004.7918960452</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23297.992825482055</v>
      </c>
      <c r="G21" s="297">
        <f>+SUMPRODUCT(('Budget révisé'!$A$8:$A$500=$A21)*('Budget révisé'!$C$3:$AO$3=G$2),'Budget révisé'!$C$8:$AO$500)</f>
        <v>0</v>
      </c>
      <c r="H21" s="173">
        <f t="shared" ref="H21:H23" si="22">IF(G21=0,0,I21/G21)</f>
        <v>0</v>
      </c>
      <c r="I21" s="173">
        <f>+SUMPRODUCT(('Budget révisé'!$A$8:$A$500=$A21)*('Budget révisé'!$C$3:$AO$3=I$2),'Budget révisé'!$C$8:$AO$500)</f>
        <v>23297.992825482055</v>
      </c>
      <c r="J21" s="176"/>
      <c r="K21" s="173">
        <f>IF(J13=0,0,L21/(J13+J15))</f>
        <v>0</v>
      </c>
      <c r="L21" s="174">
        <f>-SUMIFS(BV_Data_An_Cour!$Q:$Q,BV_Data_An_Cour!$V:$V,$B21,BV_Data_An_Cour!$W:$W,$C21,BV_Data_An_Cour!$X:$X,L$2)</f>
        <v>0</v>
      </c>
      <c r="M21" s="176"/>
      <c r="N21" s="174">
        <f t="shared" ref="N21:N24" si="23">L21-I21</f>
        <v>-23297.992825482055</v>
      </c>
      <c r="O21" s="176"/>
      <c r="P21" s="173">
        <f>IF(O13=0,0,Q21/(O13+O15))</f>
        <v>18.496807387862798</v>
      </c>
      <c r="Q21" s="174">
        <f>-SUMIFS(BV_Data_An_Prec!$P:$P,BV_Data_An_Prec!$U:$U,$B21,BV_Data_An_Prec!$V:$V,$C21,BV_Data_An_Prec!$W:$W,Q$2)</f>
        <v>14020.58</v>
      </c>
      <c r="R21" s="176">
        <f t="shared" ref="R21:R23" si="24">O21-K21</f>
        <v>0</v>
      </c>
      <c r="S21" s="393">
        <f t="shared" ref="S21:S24" si="25">L21-Q21</f>
        <v>-14020.58</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623072.39020279085</v>
      </c>
      <c r="G22" s="297">
        <f>+SUMPRODUCT(('Budget révisé'!$A$8:$A$500=$A22)*('Budget révisé'!$C$3:$AO$3=G$2),'Budget révisé'!$C$8:$AO$500)</f>
        <v>0</v>
      </c>
      <c r="H22" s="173">
        <f t="shared" si="22"/>
        <v>0</v>
      </c>
      <c r="I22" s="173">
        <f>+SUMPRODUCT(('Budget révisé'!$A$8:$A$500=$A22)*('Budget révisé'!$C$3:$AO$3=I$2),'Budget révisé'!$C$8:$AO$500)</f>
        <v>623072.39020279085</v>
      </c>
      <c r="J22" s="176"/>
      <c r="K22" s="173">
        <f>IF(J13=0,0,L22/(J13+J15))</f>
        <v>0</v>
      </c>
      <c r="L22" s="174">
        <f>-SUMIFS(BV_Data_An_Cour!$Q:$Q,BV_Data_An_Cour!$V:$V,$B22,BV_Data_An_Cour!$W:$W,$C22,BV_Data_An_Cour!$X:$X,L$2)</f>
        <v>0</v>
      </c>
      <c r="M22" s="176"/>
      <c r="N22" s="174">
        <f t="shared" si="23"/>
        <v>-623072.39020279085</v>
      </c>
      <c r="O22" s="176"/>
      <c r="P22" s="173">
        <f>IF(O13=0,0,Q22/(O13+O15))</f>
        <v>782.26189973614783</v>
      </c>
      <c r="Q22" s="174">
        <f>-SUMIFS(BV_Data_An_Prec!$P:$P,BV_Data_An_Prec!$U:$U,$B22,BV_Data_An_Prec!$V:$V,$C22,BV_Data_An_Prec!$W:$W,Q$2)</f>
        <v>592954.52</v>
      </c>
      <c r="R22" s="176">
        <f t="shared" si="24"/>
        <v>0</v>
      </c>
      <c r="S22" s="393">
        <f t="shared" si="25"/>
        <v>-592954.52</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15421.183236787263</v>
      </c>
      <c r="G23" s="297">
        <f>+SUMPRODUCT(('Budget révisé'!$A$8:$A$500=$A23)*('Budget révisé'!$C$3:$AO$3=G$2),'Budget révisé'!$C$8:$AO$500)</f>
        <v>0</v>
      </c>
      <c r="H23" s="173">
        <f t="shared" si="22"/>
        <v>0</v>
      </c>
      <c r="I23" s="173">
        <f>+SUMPRODUCT(('Budget révisé'!$A$8:$A$500=$A23)*('Budget révisé'!$C$3:$AO$3=I$2),'Budget révisé'!$C$8:$AO$500)</f>
        <v>15421.183236787263</v>
      </c>
      <c r="J23" s="176"/>
      <c r="K23" s="173">
        <f>IF(J13=0,0,L23/(J13+J15))</f>
        <v>0</v>
      </c>
      <c r="L23" s="174">
        <f>-SUMIFS(BV_Data_An_Cour!$Q:$Q,BV_Data_An_Cour!$V:$V,$B23,BV_Data_An_Cour!$W:$W,$C23,BV_Data_An_Cour!$X:$X,L$2)</f>
        <v>0</v>
      </c>
      <c r="M23" s="400"/>
      <c r="N23" s="174">
        <f t="shared" si="23"/>
        <v>-15421.183236787263</v>
      </c>
      <c r="O23" s="176"/>
      <c r="P23" s="173">
        <f>IF(O13=0,0,Q23/(O13+O15))</f>
        <v>21.365422163588391</v>
      </c>
      <c r="Q23" s="174">
        <f>-SUMIFS(BV_Data_An_Prec!$P:$P,BV_Data_An_Prec!$U:$U,$B23,BV_Data_An_Prec!$V:$V,$C23,BV_Data_An_Prec!$W:$W,Q$2)</f>
        <v>16194.99</v>
      </c>
      <c r="R23" s="176">
        <f t="shared" si="24"/>
        <v>0</v>
      </c>
      <c r="S23" s="393">
        <f t="shared" si="25"/>
        <v>-16194.99</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778.57831325301197</v>
      </c>
      <c r="E24" s="395">
        <f>IF(D24&lt;=0,0,F24/D24)</f>
        <v>849.99999999999989</v>
      </c>
      <c r="F24" s="396">
        <f>F21+F22+F23</f>
        <v>661791.5662650601</v>
      </c>
      <c r="G24" s="397">
        <f>+G15+G13</f>
        <v>778.57831325301197</v>
      </c>
      <c r="H24" s="395">
        <f>IF(G24&lt;=0,0,I24/G24)</f>
        <v>849.99999999999989</v>
      </c>
      <c r="I24" s="396">
        <f>I21+I22+I23</f>
        <v>661791.5662650601</v>
      </c>
      <c r="J24" s="397">
        <f>+J15+J13</f>
        <v>0</v>
      </c>
      <c r="K24" s="395">
        <f>IF(J24&lt;=0,0,L24/J24)</f>
        <v>0</v>
      </c>
      <c r="L24" s="396">
        <f>L21+L22+L23</f>
        <v>0</v>
      </c>
      <c r="M24" s="425">
        <f>J24-G24</f>
        <v>-778.57831325301197</v>
      </c>
      <c r="N24" s="396">
        <f t="shared" si="23"/>
        <v>-661791.5662650601</v>
      </c>
      <c r="O24" s="397">
        <f>+O15+O13</f>
        <v>758</v>
      </c>
      <c r="P24" s="395">
        <f>IF(O24&lt;=0,0,Q24/O24)</f>
        <v>822.12412928759886</v>
      </c>
      <c r="Q24" s="396">
        <f>Q21+Q22+Q23</f>
        <v>623170.09</v>
      </c>
      <c r="R24" s="405"/>
      <c r="S24" s="398">
        <f t="shared" si="25"/>
        <v>-623170.09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789.97148645149491</v>
      </c>
      <c r="E27" s="27">
        <f>IF(D27&lt;=0,0,F27/D27)</f>
        <v>2814.5171912047472</v>
      </c>
      <c r="F27" s="28">
        <f>F13+F17+F24+F19+F15</f>
        <v>2223388.3291793005</v>
      </c>
      <c r="G27" s="29">
        <f>+G13+G15+G17</f>
        <v>789.97148645149491</v>
      </c>
      <c r="H27" s="27">
        <f>IF(G27&lt;=0,0,I27/G27)</f>
        <v>2814.5171912047472</v>
      </c>
      <c r="I27" s="28">
        <f>I13+I17+I24+I19+I15</f>
        <v>2223388.3291793005</v>
      </c>
      <c r="J27" s="29">
        <f>+J13+J15+J17</f>
        <v>0</v>
      </c>
      <c r="K27" s="27">
        <f>IF(J27&lt;=0,0,L27/J27)</f>
        <v>0</v>
      </c>
      <c r="L27" s="28">
        <f>L13+L17+L24+L19+L15</f>
        <v>0</v>
      </c>
      <c r="M27" s="29">
        <f>J27-G27</f>
        <v>-789.97148645149491</v>
      </c>
      <c r="N27" s="28">
        <f>L27-I27</f>
        <v>-2223388.3291793005</v>
      </c>
      <c r="O27" s="29">
        <f>+O13+O15+O17</f>
        <v>778</v>
      </c>
      <c r="P27" s="27">
        <f>IF(O27&lt;=0,0,Q27/O27)</f>
        <v>2691.0568894601538</v>
      </c>
      <c r="Q27" s="28">
        <f>Q13+Q17+Q24+Q19+Q15</f>
        <v>2093642.2599999998</v>
      </c>
      <c r="R27" s="29">
        <f>J27-O27</f>
        <v>-778</v>
      </c>
      <c r="S27" s="357">
        <f>L27-Q27</f>
        <v>-2093642.2599999998</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621.93407462899268</v>
      </c>
      <c r="F31" s="173">
        <f>+SUMPRODUCT(('Budget original'!$A$8:$A$500=$A31)*('Budget original'!$C$3:$AO$3=F$2),'Budget original'!$C$8:$AO$500)</f>
        <v>484224.38277921395</v>
      </c>
      <c r="G31" s="296"/>
      <c r="H31" s="191">
        <f t="shared" ref="H31:H36" si="27">I31/G$24</f>
        <v>621.93407462899268</v>
      </c>
      <c r="I31" s="173">
        <f>+SUMPRODUCT(('Budget révisé'!$A$8:$A$500=$A31)*('Budget révisé'!$C$3:$AO$3=I$2),'Budget révisé'!$C$8:$AO$500)</f>
        <v>484224.38277921395</v>
      </c>
      <c r="J31" s="952" t="e">
        <f>L31/(L13+L15+L17)</f>
        <v>#DIV/0!</v>
      </c>
      <c r="K31" s="191">
        <f t="shared" ref="K31:K36" si="28">IF(L31=0,0,L31/J$24)</f>
        <v>0</v>
      </c>
      <c r="L31" s="173">
        <f>SUMIFS(BV_Data_An_Cour!$Q:$Q,BV_Data_An_Cour!$V:$V,$B31,BV_Data_An_Cour!$W:$W,$C31,BV_Data_An_Cour!$X:$X,L$2)</f>
        <v>0</v>
      </c>
      <c r="M31" s="297"/>
      <c r="N31" s="298">
        <f t="shared" ref="N31:N53" si="29">L31-I31</f>
        <v>-484224.38277921395</v>
      </c>
      <c r="O31" s="297"/>
      <c r="P31" s="191">
        <f t="shared" ref="P31:P36" si="30">IF(Q31=0,0,Q31/O$24)</f>
        <v>632.21612137203169</v>
      </c>
      <c r="Q31" s="174">
        <f>SUMIFS(BV_Data_An_Prec!$P:$P,BV_Data_An_Prec!$U:$U,$B31,BV_Data_An_Prec!$V:$V,$C31,BV_Data_An_Prec!$W:$W,Q$2)</f>
        <v>479219.82</v>
      </c>
      <c r="R31" s="297"/>
      <c r="S31" s="193">
        <f t="shared" ref="S31:S41" si="31">L31-Q31</f>
        <v>-479219.82</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198537.46987951803</v>
      </c>
      <c r="G32" s="303"/>
      <c r="H32" s="184">
        <f t="shared" si="27"/>
        <v>254.99999999999997</v>
      </c>
      <c r="I32" s="171">
        <f>+SUMPRODUCT(('Budget révisé'!$A$8:$A$500=$A32)*('Budget révisé'!$C$3:$AO$3=I$2),'Budget révisé'!$C$8:$AO$500)</f>
        <v>198537.46987951803</v>
      </c>
      <c r="J32" s="953" t="e">
        <f>L32/L24</f>
        <v>#DIV/0!</v>
      </c>
      <c r="K32" s="407">
        <f t="shared" si="28"/>
        <v>0</v>
      </c>
      <c r="L32" s="171">
        <f>SUMIFS(BV_Data_An_Cour!$Q:$Q,BV_Data_An_Cour!$V:$V,$B32,BV_Data_An_Cour!$W:$W,$C32,BV_Data_An_Cour!$X:$X,L$2)</f>
        <v>0</v>
      </c>
      <c r="M32" s="304"/>
      <c r="N32" s="305">
        <f t="shared" si="29"/>
        <v>-198537.46987951803</v>
      </c>
      <c r="O32" s="304"/>
      <c r="P32" s="407">
        <f t="shared" si="30"/>
        <v>248.78257255936677</v>
      </c>
      <c r="Q32" s="171">
        <f>SUMIFS(BV_Data_An_Prec!$P:$P,BV_Data_An_Prec!$U:$U,$B32,BV_Data_An_Prec!$V:$V,$C32,BV_Data_An_Prec!$W:$W,Q$2)</f>
        <v>188577.19</v>
      </c>
      <c r="R32" s="304"/>
      <c r="S32" s="196">
        <f t="shared" si="31"/>
        <v>-188577.19</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167.84930226439232</v>
      </c>
      <c r="F33" s="173">
        <f>+SUMPRODUCT(('Budget original'!$A$8:$A$500=$A33)*('Budget original'!$C$3:$AO$3=F$2),'Budget original'!$C$8:$AO$500)</f>
        <v>130683.82663770553</v>
      </c>
      <c r="G33" s="296"/>
      <c r="H33" s="191">
        <f t="shared" si="27"/>
        <v>167.84930226439232</v>
      </c>
      <c r="I33" s="173">
        <f>+SUMPRODUCT(('Budget révisé'!$A$8:$A$500=$A33)*('Budget révisé'!$C$3:$AO$3=I$2),'Budget révisé'!$C$8:$AO$500)</f>
        <v>130683.82663770553</v>
      </c>
      <c r="J33" s="297"/>
      <c r="K33" s="191">
        <f t="shared" si="28"/>
        <v>0</v>
      </c>
      <c r="L33" s="173">
        <f>SUMIFS(BV_Data_An_Cour!$Q:$Q,BV_Data_An_Cour!$V:$V,$B33,BV_Data_An_Cour!$W:$W,$C33,BV_Data_An_Cour!$X:$X,L$2)</f>
        <v>0</v>
      </c>
      <c r="M33" s="297"/>
      <c r="N33" s="298">
        <f t="shared" si="29"/>
        <v>-130683.82663770553</v>
      </c>
      <c r="O33" s="297"/>
      <c r="P33" s="191">
        <f t="shared" si="30"/>
        <v>155.74080474934036</v>
      </c>
      <c r="Q33" s="174">
        <f>SUMIFS(BV_Data_An_Prec!$P:$P,BV_Data_An_Prec!$U:$U,$B33,BV_Data_An_Prec!$V:$V,$C33,BV_Data_An_Prec!$W:$W,Q$2)</f>
        <v>118051.53</v>
      </c>
      <c r="R33" s="297"/>
      <c r="S33" s="193">
        <f t="shared" si="31"/>
        <v>-118051.53</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5726.2937169384732</v>
      </c>
      <c r="G34" s="296"/>
      <c r="H34" s="191">
        <f t="shared" si="27"/>
        <v>7.3548076275245782</v>
      </c>
      <c r="I34" s="173">
        <f>+SUMPRODUCT(('Budget révisé'!$A$8:$A$500=$A34)*('Budget révisé'!$C$3:$AO$3=I$2),'Budget révisé'!$C$8:$AO$500)</f>
        <v>5726.2937169384732</v>
      </c>
      <c r="J34" s="297"/>
      <c r="K34" s="191">
        <f t="shared" si="28"/>
        <v>0</v>
      </c>
      <c r="L34" s="173">
        <f>SUMIFS(BV_Data_An_Cour!$Q:$Q,BV_Data_An_Cour!$V:$V,$B34,BV_Data_An_Cour!$W:$W,$C34,BV_Data_An_Cour!$X:$X,L$2)</f>
        <v>0</v>
      </c>
      <c r="M34" s="297"/>
      <c r="N34" s="298">
        <f t="shared" si="29"/>
        <v>-5726.2937169384732</v>
      </c>
      <c r="O34" s="297"/>
      <c r="P34" s="191">
        <f t="shared" si="30"/>
        <v>12.054775725593668</v>
      </c>
      <c r="Q34" s="174">
        <f>SUMIFS(BV_Data_An_Prec!$P:$P,BV_Data_An_Prec!$U:$U,$B34,BV_Data_An_Prec!$V:$V,$C34,BV_Data_An_Prec!$W:$W,Q$2)</f>
        <v>9137.52</v>
      </c>
      <c r="R34" s="297"/>
      <c r="S34" s="193">
        <f t="shared" si="31"/>
        <v>-9137.52</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17.733118212476487</v>
      </c>
      <c r="F35" s="171">
        <f>+SUMPRODUCT(('Budget original'!$A$8:$A$500=$A35)*('Budget original'!$C$3:$AO$3=F$2),'Budget original'!$C$8:$AO$500)</f>
        <v>13806.621266586209</v>
      </c>
      <c r="G35" s="303"/>
      <c r="H35" s="184">
        <f t="shared" si="27"/>
        <v>17.733118212476487</v>
      </c>
      <c r="I35" s="171">
        <f>+SUMPRODUCT(('Budget révisé'!$A$8:$A$500=$A35)*('Budget révisé'!$C$3:$AO$3=I$2),'Budget révisé'!$C$8:$AO$500)</f>
        <v>13806.621266586209</v>
      </c>
      <c r="J35" s="304"/>
      <c r="K35" s="407">
        <f t="shared" si="28"/>
        <v>0</v>
      </c>
      <c r="L35" s="171">
        <f>SUMIFS(BV_Data_An_Cour!$Q:$Q,BV_Data_An_Cour!$V:$V,$B35,BV_Data_An_Cour!$W:$W,$C35,BV_Data_An_Cour!$X:$X,L$2)</f>
        <v>0</v>
      </c>
      <c r="M35" s="304"/>
      <c r="N35" s="305">
        <f t="shared" si="29"/>
        <v>-13806.621266586209</v>
      </c>
      <c r="O35" s="304"/>
      <c r="P35" s="407">
        <f t="shared" si="30"/>
        <v>23.395488126649074</v>
      </c>
      <c r="Q35" s="174">
        <f>SUMIFS(BV_Data_An_Prec!$P:$P,BV_Data_An_Prec!$U:$U,$B35,BV_Data_An_Prec!$V:$V,$C35,BV_Data_An_Prec!$W:$W,Q$2)</f>
        <v>17733.78</v>
      </c>
      <c r="R35" s="304"/>
      <c r="S35" s="196">
        <f t="shared" si="31"/>
        <v>-17733.78</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152552.80722891563</v>
      </c>
      <c r="G36" s="296"/>
      <c r="H36" s="191">
        <f t="shared" si="27"/>
        <v>195.93765281173592</v>
      </c>
      <c r="I36" s="173">
        <f>+SUMPRODUCT(('Budget révisé'!$A$8:$A$500=$A36)*('Budget révisé'!$C$3:$AO$3=I$2),'Budget révisé'!$C$8:$AO$500)</f>
        <v>152552.80722891563</v>
      </c>
      <c r="J36" s="297"/>
      <c r="K36" s="191">
        <f t="shared" si="28"/>
        <v>0</v>
      </c>
      <c r="L36" s="623">
        <f>SUMIFS(BV_Data_An_Cour!$Q:$Q,BV_Data_An_Cour!$V:$V,$B36,BV_Data_An_Cour!$W:$W,$C36,BV_Data_An_Cour!$X:$X,L$2)</f>
        <v>0</v>
      </c>
      <c r="M36" s="172"/>
      <c r="N36" s="298">
        <f t="shared" si="29"/>
        <v>-152552.80722891563</v>
      </c>
      <c r="O36" s="297"/>
      <c r="P36" s="191">
        <f t="shared" si="30"/>
        <v>149.7702242744063</v>
      </c>
      <c r="Q36" s="423">
        <f>SUMIFS(BV_Data_An_Prec!$P:$P,BV_Data_An_Prec!$U:$U,$B36,BV_Data_An_Prec!$V:$V,$C36,BV_Data_An_Prec!$W:$W,Q$2)</f>
        <v>113525.82999999999</v>
      </c>
      <c r="R36" s="297"/>
      <c r="S36" s="193">
        <f t="shared" si="31"/>
        <v>-113525.82999999999</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100.97655331717766</v>
      </c>
      <c r="F37" s="173">
        <f>+SUMPRODUCT(('Budget original'!$A$8:$A$500=$A37)*('Budget original'!$C$3:$AO$3=F$2),'Budget original'!$C$8:$AO$500)</f>
        <v>78618.154559791015</v>
      </c>
      <c r="G37" s="296"/>
      <c r="H37" s="191">
        <f t="shared" ref="H37:H40" si="34">I37/G$24</f>
        <v>100.97655331717766</v>
      </c>
      <c r="I37" s="173">
        <f>+SUMPRODUCT(('Budget révisé'!$A$8:$A$500=$A37)*('Budget révisé'!$C$3:$AO$3=I$2),'Budget révisé'!$C$8:$AO$500)</f>
        <v>78618.154559791015</v>
      </c>
      <c r="J37" s="297"/>
      <c r="K37" s="191">
        <f t="shared" ref="K37:K40" si="35">IF(L37=0,0,L37/J$24)</f>
        <v>0</v>
      </c>
      <c r="L37" s="624">
        <f>SUMIFS(BV_Data_An_Cour!$Q:$Q,BV_Data_An_Cour!$V:$V,$B37,BV_Data_An_Cour!$W:$W,$C37,BV_Data_An_Cour!$X:$X,L$2)</f>
        <v>0</v>
      </c>
      <c r="M37" s="172"/>
      <c r="N37" s="298">
        <f t="shared" ref="N37:N40" si="36">L37-I37</f>
        <v>-78618.154559791015</v>
      </c>
      <c r="O37" s="297"/>
      <c r="P37" s="191">
        <f t="shared" ref="P37:P40" si="37">IF(Q37=0,0,Q37/O$24)</f>
        <v>188.23996042216362</v>
      </c>
      <c r="Q37" s="174">
        <f>SUMIFS(BV_Data_An_Prec!$P:$P,BV_Data_An_Prec!$U:$U,$B37,BV_Data_An_Prec!$V:$V,$C37,BV_Data_An_Prec!$W:$W,Q$2)</f>
        <v>142685.89000000001</v>
      </c>
      <c r="R37" s="297"/>
      <c r="S37" s="193">
        <f t="shared" ref="S37:S40" si="38">L37-Q37</f>
        <v>-142685.89000000001</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0.47861614730228835</v>
      </c>
      <c r="F41" s="41">
        <f>SUM(F31:F40)</f>
        <v>1064149.5560686688</v>
      </c>
      <c r="G41" s="42" t="s">
        <v>111</v>
      </c>
      <c r="H41" s="40">
        <f>I41/I$27</f>
        <v>0.47861614730228835</v>
      </c>
      <c r="I41" s="41">
        <f>SUM(I31:I40)</f>
        <v>1064149.5560686688</v>
      </c>
      <c r="J41" s="42" t="s">
        <v>111</v>
      </c>
      <c r="K41" s="40" t="e">
        <f>L41/L$27</f>
        <v>#DIV/0!</v>
      </c>
      <c r="L41" s="41">
        <f>SUM(L31:L40)</f>
        <v>0</v>
      </c>
      <c r="M41" s="577"/>
      <c r="N41" s="41">
        <f t="shared" si="29"/>
        <v>-1064149.5560686688</v>
      </c>
      <c r="O41" s="42" t="s">
        <v>111</v>
      </c>
      <c r="P41" s="40">
        <f>Q41/Q$27</f>
        <v>0.51056074880720081</v>
      </c>
      <c r="Q41" s="576">
        <f>SUM(Q31:Q40)</f>
        <v>1068931.56</v>
      </c>
      <c r="R41" s="44"/>
      <c r="S41" s="310">
        <f t="shared" si="31"/>
        <v>-1068931.56</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172640.76206896553</v>
      </c>
      <c r="G42" s="297"/>
      <c r="H42" s="172"/>
      <c r="I42" s="173">
        <f>+SUMPRODUCT(('Budget révisé'!$A$8:$A$500=$A42)*('Budget révisé'!$C$3:$AO$3=I$2),'Budget révisé'!$C$8:$AO$500)</f>
        <v>172640.76206896553</v>
      </c>
      <c r="J42" s="297"/>
      <c r="K42" s="172"/>
      <c r="L42" s="275">
        <f>SUMIFS(BV_Data_An_Cour!$Q:$Q,BV_Data_An_Cour!$V:$V,$B42,BV_Data_An_Cour!$W:$W,$C42,BV_Data_An_Cour!$X:$X,L$2)</f>
        <v>0</v>
      </c>
      <c r="M42" s="297"/>
      <c r="N42" s="298">
        <f t="shared" si="29"/>
        <v>-172640.76206896553</v>
      </c>
      <c r="O42" s="297"/>
      <c r="P42" s="172"/>
      <c r="Q42" s="174">
        <f>SUMIFS(BV_Data_An_Prec!$P:$P,BV_Data_An_Prec!$U:$U,$B42,BV_Data_An_Prec!$V:$V,$C42,BV_Data_An_Prec!$W:$W,Q$2)</f>
        <v>201381.76000000001</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106298.6186788276</v>
      </c>
      <c r="G43" s="296"/>
      <c r="H43" s="172"/>
      <c r="I43" s="171">
        <f>+SUMPRODUCT(('Budget révisé'!$A$8:$A$500=$A43)*('Budget révisé'!$C$3:$AO$3=I$2),'Budget révisé'!$C$8:$AO$500)</f>
        <v>106298.6186788276</v>
      </c>
      <c r="J43" s="297"/>
      <c r="K43" s="1080"/>
      <c r="L43" s="275">
        <f>SUMIFS(BV_Data_An_Cour!$Q:$Q,BV_Data_An_Cour!$V:$V,$B43,BV_Data_An_Cour!$W:$W,$C43,BV_Data_An_Cour!$X:$X,L$2)</f>
        <v>0</v>
      </c>
      <c r="M43" s="297"/>
      <c r="N43" s="298">
        <f t="shared" si="29"/>
        <v>-106298.6186788276</v>
      </c>
      <c r="O43" s="297"/>
      <c r="P43" s="172"/>
      <c r="Q43" s="174">
        <f>SUMIFS(BV_Data_An_Prec!$P:$P,BV_Data_An_Prec!$U:$U,$B43,BV_Data_An_Prec!$V:$V,$C43,BV_Data_An_Prec!$W:$W,Q$2)</f>
        <v>96819.4</v>
      </c>
      <c r="R43" s="297"/>
      <c r="S43" s="193">
        <f t="shared" ref="S43:S53" si="39">L43-Q43</f>
        <v>-96819.4</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96513.350742130249</v>
      </c>
      <c r="G44" s="387"/>
      <c r="H44" s="346"/>
      <c r="I44" s="173">
        <f>+SUMPRODUCT(('Budget révisé'!$A$8:$A$500=$A44)*('Budget révisé'!$C$3:$AO$3=I$2),'Budget révisé'!$C$8:$AO$500)</f>
        <v>96513.350742130249</v>
      </c>
      <c r="J44" s="362"/>
      <c r="K44" s="346"/>
      <c r="L44" s="175">
        <f>SUMIFS(BV_Data_An_Cour!$Q:$Q,BV_Data_An_Cour!$V:$V,$B44,BV_Data_An_Cour!$W:$W,$C44,BV_Data_An_Cour!$X:$X,L$2)</f>
        <v>0</v>
      </c>
      <c r="M44" s="362"/>
      <c r="N44" s="350">
        <f t="shared" si="29"/>
        <v>-96513.350742130249</v>
      </c>
      <c r="O44" s="362"/>
      <c r="P44" s="346"/>
      <c r="Q44" s="175">
        <f>SUMIFS(BV_Data_An_Prec!$P:$P,BV_Data_An_Prec!$U:$U,$B44,BV_Data_An_Prec!$V:$V,$C44,BV_Data_An_Prec!$W:$W,Q$2)</f>
        <v>98182.69</v>
      </c>
      <c r="R44" s="362"/>
      <c r="S44" s="195">
        <f t="shared" si="39"/>
        <v>-98182.69</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129163.63575719314</v>
      </c>
      <c r="G49" s="296"/>
      <c r="H49" s="172"/>
      <c r="I49" s="171">
        <f>+SUMPRODUCT(('Budget révisé'!$A$8:$A$500=$A49)*('Budget révisé'!$C$3:$AO$3=I$2),'Budget révisé'!$C$8:$AO$500)</f>
        <v>129163.63575719314</v>
      </c>
      <c r="J49" s="297"/>
      <c r="K49" s="172"/>
      <c r="L49" s="171">
        <f>SUMIFS(BV_Data_An_Cour!$Q:$Q,BV_Data_An_Cour!$V:$V,$B49,BV_Data_An_Cour!$W:$W,$C49,BV_Data_An_Cour!$X:$X,L$2)</f>
        <v>0</v>
      </c>
      <c r="M49" s="297"/>
      <c r="N49" s="298">
        <f t="shared" si="29"/>
        <v>-129163.63575719314</v>
      </c>
      <c r="O49" s="297"/>
      <c r="P49" s="172"/>
      <c r="Q49" s="171">
        <f>SUMIFS(BV_Data_An_Prec!$P:$P,BV_Data_An_Prec!$U:$U,$B49,BV_Data_An_Prec!$V:$V,$C49,BV_Data_An_Prec!$W:$W,Q$2)</f>
        <v>152977.28</v>
      </c>
      <c r="R49" s="297"/>
      <c r="S49" s="193">
        <f t="shared" si="39"/>
        <v>-152977.28</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115679.27583323485</v>
      </c>
      <c r="G50" s="387"/>
      <c r="H50" s="346"/>
      <c r="I50" s="173">
        <f>+SUMPRODUCT(('Budget révisé'!$A$8:$A$500=$A50)*('Budget révisé'!$C$3:$AO$3=I$2),'Budget révisé'!$C$8:$AO$500)</f>
        <v>115679.27583323485</v>
      </c>
      <c r="J50" s="362"/>
      <c r="K50" s="346"/>
      <c r="L50" s="174">
        <f>SUMIFS(BV_Data_An_Cour!$Q:$Q,BV_Data_An_Cour!$V:$V,$B50,BV_Data_An_Cour!$W:$W,$C50,BV_Data_An_Cour!$X:$X,L$2)</f>
        <v>0</v>
      </c>
      <c r="M50" s="362"/>
      <c r="N50" s="350">
        <f t="shared" si="29"/>
        <v>-115679.27583323485</v>
      </c>
      <c r="O50" s="362"/>
      <c r="P50" s="346"/>
      <c r="Q50" s="174">
        <f>SUMIFS(BV_Data_An_Prec!$P:$P,BV_Data_An_Prec!$U:$U,$B50,BV_Data_An_Prec!$V:$V,$C50,BV_Data_An_Prec!$W:$W,Q$2)</f>
        <v>117672.44</v>
      </c>
      <c r="R50" s="362"/>
      <c r="S50" s="195">
        <f t="shared" si="39"/>
        <v>-117672.44</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91862.954338157084</v>
      </c>
      <c r="G51" s="296"/>
      <c r="H51" s="172"/>
      <c r="I51" s="173">
        <f>+SUMPRODUCT(('Budget révisé'!$A$8:$A$500=$A51)*('Budget révisé'!$C$3:$AO$3=I$2),'Budget révisé'!$C$8:$AO$500)</f>
        <v>91862.954338157084</v>
      </c>
      <c r="J51" s="297"/>
      <c r="K51" s="172"/>
      <c r="L51" s="174">
        <f>SUMIFS(BV_Data_An_Cour!$Q:$Q,BV_Data_An_Cour!$V:$V,$B51,BV_Data_An_Cour!$W:$W,$C51,BV_Data_An_Cour!$X:$X,L$2)</f>
        <v>0</v>
      </c>
      <c r="M51" s="297"/>
      <c r="N51" s="298">
        <f t="shared" si="29"/>
        <v>-91862.954338157084</v>
      </c>
      <c r="O51" s="297"/>
      <c r="P51" s="172"/>
      <c r="Q51" s="174">
        <f>SUMIFS(BV_Data_An_Prec!$P:$P,BV_Data_An_Prec!$U:$U,$B51,BV_Data_An_Prec!$V:$V,$C51,BV_Data_An_Prec!$W:$W,Q$2)</f>
        <v>84331.9</v>
      </c>
      <c r="R51" s="297"/>
      <c r="S51" s="193">
        <f t="shared" si="39"/>
        <v>-84331.9</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37425.648063693625</v>
      </c>
      <c r="G52" s="296"/>
      <c r="H52" s="172"/>
      <c r="I52" s="173">
        <f>+SUMPRODUCT(('Budget révisé'!$A$8:$A$500=$A52)*('Budget révisé'!$C$3:$AO$3=I$2),'Budget révisé'!$C$8:$AO$500)</f>
        <v>37425.648063693625</v>
      </c>
      <c r="J52" s="297"/>
      <c r="K52" s="172"/>
      <c r="L52" s="174">
        <f>SUMIFS(BV_Data_An_Cour!$Q:$Q,BV_Data_An_Cour!$V:$V,$B52,BV_Data_An_Cour!$W:$W,$C52,BV_Data_An_Cour!$X:$X,L$2)</f>
        <v>0</v>
      </c>
      <c r="M52" s="297"/>
      <c r="N52" s="298">
        <f t="shared" si="29"/>
        <v>-37425.648063693625</v>
      </c>
      <c r="O52" s="297"/>
      <c r="P52" s="172"/>
      <c r="Q52" s="174">
        <f>SUMIFS(BV_Data_An_Prec!$P:$P,BV_Data_An_Prec!$U:$U,$B52,BV_Data_An_Prec!$V:$V,$C52,BV_Data_An_Prec!$W:$W,Q$2)</f>
        <v>28612.09</v>
      </c>
      <c r="R52" s="297"/>
      <c r="S52" s="193">
        <f t="shared" si="39"/>
        <v>-28612.09</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0.33713599898173863</v>
      </c>
      <c r="F54" s="41">
        <f>+SUM(F42:F53)</f>
        <v>749584.24548220215</v>
      </c>
      <c r="G54" s="42" t="s">
        <v>111</v>
      </c>
      <c r="H54" s="40">
        <f>I54/I$27</f>
        <v>0.33713599898173863</v>
      </c>
      <c r="I54" s="41">
        <f>+SUM(I42:I53)</f>
        <v>749584.24548220215</v>
      </c>
      <c r="J54" s="42" t="s">
        <v>111</v>
      </c>
      <c r="K54" s="40" t="e">
        <f>L54/L$27</f>
        <v>#DIV/0!</v>
      </c>
      <c r="L54" s="41">
        <f>+SUM(L42:L53)</f>
        <v>0</v>
      </c>
      <c r="M54" s="44"/>
      <c r="N54" s="41">
        <f>+SUM(N42:N53)</f>
        <v>-749584.24548220215</v>
      </c>
      <c r="O54" s="42" t="s">
        <v>111</v>
      </c>
      <c r="P54" s="40">
        <f>Q54/Q$27</f>
        <v>0.37254576624757285</v>
      </c>
      <c r="Q54" s="41">
        <f>+SUM(Q42:Q53)</f>
        <v>779977.56</v>
      </c>
      <c r="R54" s="44"/>
      <c r="S54" s="310">
        <f>+SUM(S42:S53)</f>
        <v>-578595.79999999993</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80552.340000000011</v>
      </c>
      <c r="G57" s="303"/>
      <c r="H57" s="302"/>
      <c r="I57" s="171">
        <f>+SUMPRODUCT(('Budget révisé'!$A$8:$A$500=$A57)*('Budget révisé'!$C$3:$AO$3=I$2),'Budget révisé'!$C$8:$AO$500)</f>
        <v>80552.340000000011</v>
      </c>
      <c r="J57" s="304"/>
      <c r="K57" s="302"/>
      <c r="L57" s="171">
        <f>SUMIFS(BV_Data_An_Cour!$Q:$Q,BV_Data_An_Cour!$V:$V,$B57,BV_Data_An_Cour!$W:$W,$C57,BV_Data_An_Cour!$X:$X,L$2)</f>
        <v>0</v>
      </c>
      <c r="M57" s="304"/>
      <c r="N57" s="428">
        <f t="shared" si="43"/>
        <v>-80552.340000000011</v>
      </c>
      <c r="O57" s="304"/>
      <c r="P57" s="302"/>
      <c r="Q57" s="171">
        <f>SUMIFS(BV_Data_An_Prec!$P:$P,BV_Data_An_Prec!$U:$U,$B57,BV_Data_An_Prec!$V:$V,$C57,BV_Data_An_Prec!$W:$W,Q$2)</f>
        <v>76860.83</v>
      </c>
      <c r="R57" s="304"/>
      <c r="S57" s="196">
        <f t="shared" si="44"/>
        <v>-76860.83</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75176.146276666666</v>
      </c>
      <c r="G58" s="296"/>
      <c r="H58" s="172"/>
      <c r="I58" s="173">
        <f>+SUMPRODUCT(('Budget révisé'!$A$8:$A$500=$A58)*('Budget révisé'!$C$3:$AO$3=I$2),'Budget révisé'!$C$8:$AO$500)</f>
        <v>75176.146276666666</v>
      </c>
      <c r="J58" s="297"/>
      <c r="K58" s="172"/>
      <c r="L58" s="174">
        <f>SUMIFS(BV_Data_An_Cour!$Q:$Q,BV_Data_An_Cour!$V:$V,$B58,BV_Data_An_Cour!$W:$W,$C58,BV_Data_An_Cour!$X:$X,L$2)</f>
        <v>0</v>
      </c>
      <c r="M58" s="297"/>
      <c r="N58" s="298">
        <f t="shared" si="43"/>
        <v>-75176.146276666666</v>
      </c>
      <c r="O58" s="297"/>
      <c r="P58" s="172"/>
      <c r="Q58" s="174">
        <f>SUMIFS(BV_Data_An_Prec!$P:$P,BV_Data_An_Prec!$U:$U,$B58,BV_Data_An_Prec!$V:$V,$C58,BV_Data_An_Prec!$W:$W,Q$2)</f>
        <v>60745.93</v>
      </c>
      <c r="R58" s="297"/>
      <c r="S58" s="193">
        <f t="shared" si="44"/>
        <v>-60745.93</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8713.5598000000027</v>
      </c>
      <c r="G59" s="296"/>
      <c r="H59" s="172"/>
      <c r="I59" s="173">
        <f>+SUMPRODUCT(('Budget révisé'!$A$8:$A$500=$A59)*('Budget révisé'!$C$3:$AO$3=I$2),'Budget révisé'!$C$8:$AO$500)</f>
        <v>8713.5598000000027</v>
      </c>
      <c r="J59" s="297"/>
      <c r="K59" s="172"/>
      <c r="L59" s="174">
        <f>SUMIFS(BV_Data_An_Cour!$Q:$Q,BV_Data_An_Cour!$V:$V,$B59,BV_Data_An_Cour!$W:$W,$C59,BV_Data_An_Cour!$X:$X,L$2)</f>
        <v>0</v>
      </c>
      <c r="M59" s="297"/>
      <c r="N59" s="298">
        <f t="shared" si="43"/>
        <v>-8713.5598000000027</v>
      </c>
      <c r="O59" s="297"/>
      <c r="P59" s="172"/>
      <c r="Q59" s="174">
        <f>SUMIFS(BV_Data_An_Prec!$P:$P,BV_Data_An_Prec!$U:$U,$B59,BV_Data_An_Prec!$V:$V,$C59,BV_Data_An_Prec!$W:$W,Q$2)</f>
        <v>6240.88</v>
      </c>
      <c r="R59" s="297"/>
      <c r="S59" s="193">
        <f t="shared" si="44"/>
        <v>-6240.88</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73193.480355555555</v>
      </c>
      <c r="G60" s="303"/>
      <c r="H60" s="302"/>
      <c r="I60" s="171">
        <f>+SUMPRODUCT(('Budget révisé'!$A$8:$A$500=$A60)*('Budget révisé'!$C$3:$AO$3=I$2),'Budget révisé'!$C$8:$AO$500)</f>
        <v>73193.480355555555</v>
      </c>
      <c r="J60" s="304"/>
      <c r="K60" s="302"/>
      <c r="L60" s="171">
        <f>SUMIFS(BV_Data_An_Cour!$Q:$Q,BV_Data_An_Cour!$V:$V,$B60,BV_Data_An_Cour!$W:$W,$C60,BV_Data_An_Cour!$X:$X,L$2)</f>
        <v>0</v>
      </c>
      <c r="M60" s="304"/>
      <c r="N60" s="305">
        <f t="shared" si="43"/>
        <v>-73193.480355555555</v>
      </c>
      <c r="O60" s="304"/>
      <c r="P60" s="302"/>
      <c r="Q60" s="171">
        <f>SUMIFS(BV_Data_An_Prec!$P:$P,BV_Data_An_Prec!$U:$U,$B60,BV_Data_An_Prec!$V:$V,$C60,BV_Data_An_Prec!$W:$W,Q$2)</f>
        <v>79375.42</v>
      </c>
      <c r="R60" s="304"/>
      <c r="S60" s="196">
        <f t="shared" si="44"/>
        <v>-79375.42</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935.08321523554218</v>
      </c>
      <c r="G61" s="296"/>
      <c r="H61" s="172"/>
      <c r="I61" s="173">
        <f>+SUMPRODUCT(('Budget révisé'!$A$8:$A$500=$A61)*('Budget révisé'!$C$3:$AO$3=I$2),'Budget révisé'!$C$8:$AO$500)</f>
        <v>935.08321523554218</v>
      </c>
      <c r="J61" s="297"/>
      <c r="K61" s="172"/>
      <c r="L61" s="174">
        <f>SUMIFS(BV_Data_An_Cour!$Q:$Q,BV_Data_An_Cour!$V:$V,$B61,BV_Data_An_Cour!$W:$W,$C61,BV_Data_An_Cour!$X:$X,L$2)</f>
        <v>0</v>
      </c>
      <c r="M61" s="297"/>
      <c r="N61" s="298">
        <f t="shared" si="43"/>
        <v>-935.08321523554218</v>
      </c>
      <c r="O61" s="297"/>
      <c r="P61" s="172"/>
      <c r="Q61" s="174">
        <f>SUMIFS(BV_Data_An_Prec!$P:$P,BV_Data_An_Prec!$U:$U,$B61,BV_Data_An_Prec!$V:$V,$C61,BV_Data_An_Prec!$W:$W,Q$2)</f>
        <v>895.51</v>
      </c>
      <c r="R61" s="297"/>
      <c r="S61" s="193">
        <f t="shared" si="44"/>
        <v>-895.51</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496.8786393125651</v>
      </c>
      <c r="G62" s="296"/>
      <c r="H62" s="172"/>
      <c r="I62" s="173">
        <f>+SUMPRODUCT(('Budget révisé'!$A$8:$A$500=$A62)*('Budget révisé'!$C$3:$AO$3=I$2),'Budget révisé'!$C$8:$AO$500)</f>
        <v>496.8786393125651</v>
      </c>
      <c r="J62" s="297"/>
      <c r="K62" s="172"/>
      <c r="L62" s="174">
        <f>SUMIFS(BV_Data_An_Cour!$Q:$Q,BV_Data_An_Cour!$V:$V,$B62,BV_Data_An_Cour!$W:$W,$C62,BV_Data_An_Cour!$X:$X,L$2)</f>
        <v>0</v>
      </c>
      <c r="M62" s="297"/>
      <c r="N62" s="298">
        <f t="shared" si="43"/>
        <v>-496.8786393125651</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7181.5075199999992</v>
      </c>
      <c r="G63" s="296"/>
      <c r="H63" s="172"/>
      <c r="I63" s="173">
        <f>+SUMPRODUCT(('Budget révisé'!$A$8:$A$500=$A63)*('Budget révisé'!$C$3:$AO$3=I$2),'Budget révisé'!$C$8:$AO$500)</f>
        <v>7181.5075199999992</v>
      </c>
      <c r="J63" s="297"/>
      <c r="K63" s="172"/>
      <c r="L63" s="548">
        <f>SUMIFS(BV_Data_An_Cour!$Q:$Q,BV_Data_An_Cour!$V:$V,$B63,BV_Data_An_Cour!$W:$W,$C63,BV_Data_An_Cour!$X:$X,L$2)</f>
        <v>0</v>
      </c>
      <c r="M63" s="297"/>
      <c r="N63" s="298">
        <f t="shared" si="43"/>
        <v>-7181.5075199999992</v>
      </c>
      <c r="O63" s="297"/>
      <c r="P63" s="172"/>
      <c r="Q63" s="548">
        <f>SUMIFS(BV_Data_An_Prec!$P:$P,BV_Data_An_Prec!$U:$U,$B63,BV_Data_An_Prec!$V:$V,$C63,BV_Data_An_Prec!$W:$W,Q$2)</f>
        <v>6019.84</v>
      </c>
      <c r="R63" s="297"/>
      <c r="S63" s="193">
        <f t="shared" si="44"/>
        <v>-6019.84</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3316.1097933333335</v>
      </c>
      <c r="G64" s="296"/>
      <c r="H64" s="172"/>
      <c r="I64" s="173">
        <f>+SUMPRODUCT(('Budget révisé'!$A$8:$A$500=$A64)*('Budget révisé'!$C$3:$AO$3=I$2),'Budget révisé'!$C$8:$AO$500)</f>
        <v>3316.1097933333335</v>
      </c>
      <c r="J64" s="297"/>
      <c r="K64" s="172"/>
      <c r="L64" s="174">
        <f>SUMIFS(BV_Data_An_Cour!$Q:$Q,BV_Data_An_Cour!$V:$V,$B64,BV_Data_An_Cour!$W:$W,$C64,BV_Data_An_Cour!$X:$X,L$2)</f>
        <v>0</v>
      </c>
      <c r="M64" s="297"/>
      <c r="N64" s="298">
        <f t="shared" si="43"/>
        <v>-3316.1097933333335</v>
      </c>
      <c r="O64" s="297"/>
      <c r="P64" s="172"/>
      <c r="Q64" s="174">
        <f>SUMIFS(BV_Data_An_Prec!$P:$P,BV_Data_An_Prec!$U:$U,$B64,BV_Data_An_Prec!$V:$V,$C64,BV_Data_An_Prec!$W:$W,Q$2)</f>
        <v>3225.68</v>
      </c>
      <c r="R64" s="297"/>
      <c r="S64" s="193">
        <f t="shared" si="44"/>
        <v>-3225.68</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1770.0878066666662</v>
      </c>
      <c r="G65" s="296"/>
      <c r="H65" s="172"/>
      <c r="I65" s="173">
        <f>+SUMPRODUCT(('Budget révisé'!$A$8:$A$500=$A65)*('Budget révisé'!$C$3:$AO$3=I$2),'Budget révisé'!$C$8:$AO$500)</f>
        <v>1770.0878066666662</v>
      </c>
      <c r="J65" s="297"/>
      <c r="K65" s="172"/>
      <c r="L65" s="275">
        <f>SUMIFS(BV_Data_An_Cour!$Q:$Q,BV_Data_An_Cour!$V:$V,$B65,BV_Data_An_Cour!$W:$W,$C65,BV_Data_An_Cour!$X:$X,L$2)</f>
        <v>0</v>
      </c>
      <c r="M65" s="297"/>
      <c r="N65" s="298">
        <f t="shared" si="43"/>
        <v>-1770.0878066666662</v>
      </c>
      <c r="O65" s="297"/>
      <c r="P65" s="172"/>
      <c r="Q65" s="174">
        <f>SUMIFS(BV_Data_An_Prec!$P:$P,BV_Data_An_Prec!$U:$U,$B65,BV_Data_An_Prec!$V:$V,$C65,BV_Data_An_Prec!$W:$W,Q$2)</f>
        <v>1945.83</v>
      </c>
      <c r="R65" s="297"/>
      <c r="S65" s="193">
        <f t="shared" si="44"/>
        <v>-1945.83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8538.5695266666662</v>
      </c>
      <c r="G66" s="296"/>
      <c r="H66" s="172"/>
      <c r="I66" s="173">
        <f>+SUMPRODUCT(('Budget révisé'!$A$8:$A$500=$A66)*('Budget révisé'!$C$3:$AO$3=I$2),'Budget révisé'!$C$8:$AO$500)</f>
        <v>8538.5695266666662</v>
      </c>
      <c r="J66" s="297"/>
      <c r="K66" s="172"/>
      <c r="L66" s="275">
        <f>SUMIFS(BV_Data_An_Cour!$Q:$Q,BV_Data_An_Cour!$V:$V,$B66,BV_Data_An_Cour!$W:$W,$C66,BV_Data_An_Cour!$X:$X,L$2)</f>
        <v>0</v>
      </c>
      <c r="M66" s="297"/>
      <c r="N66" s="298">
        <f t="shared" si="43"/>
        <v>-8538.5695266666662</v>
      </c>
      <c r="O66" s="297"/>
      <c r="P66" s="172"/>
      <c r="Q66" s="174">
        <f>SUMIFS(BV_Data_An_Prec!$P:$P,BV_Data_An_Prec!$U:$U,$B66,BV_Data_An_Prec!$V:$V,$C66,BV_Data_An_Prec!$W:$W,Q$2)</f>
        <v>9664.93</v>
      </c>
      <c r="R66" s="297"/>
      <c r="S66" s="193">
        <f t="shared" si="44"/>
        <v>-9664.93</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12685.818933333338</v>
      </c>
      <c r="G67" s="296"/>
      <c r="H67" s="172"/>
      <c r="I67" s="173">
        <f>+SUMPRODUCT(('Budget révisé'!$A$8:$A$500=$A67)*('Budget révisé'!$C$3:$AO$3=I$2),'Budget révisé'!$C$8:$AO$500)</f>
        <v>12685.818933333338</v>
      </c>
      <c r="J67" s="297"/>
      <c r="K67" s="172"/>
      <c r="L67" s="275">
        <f>SUMIFS(BV_Data_An_Cour!$Q:$Q,BV_Data_An_Cour!$V:$V,$B67,BV_Data_An_Cour!$W:$W,$C67,BV_Data_An_Cour!$X:$X,L$2)</f>
        <v>0</v>
      </c>
      <c r="M67" s="297"/>
      <c r="N67" s="298">
        <f t="shared" ref="N67" si="46">L67-I67</f>
        <v>-12685.818933333338</v>
      </c>
      <c r="O67" s="297"/>
      <c r="P67" s="172"/>
      <c r="Q67" s="174">
        <f>SUMIFS(BV_Data_An_Prec!$P:$P,BV_Data_An_Prec!$U:$U,$B67,BV_Data_An_Prec!$V:$V,$C67,BV_Data_An_Prec!$W:$W,Q$2)</f>
        <v>9590.73</v>
      </c>
      <c r="R67" s="297"/>
      <c r="S67" s="193">
        <f t="shared" ref="S67" si="47">L67-Q67</f>
        <v>-9590.73</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26044.766332577725</v>
      </c>
      <c r="G68" s="296"/>
      <c r="H68" s="172"/>
      <c r="I68" s="173">
        <f>+SUMPRODUCT(('Budget révisé'!$A$8:$A$500=$A68)*('Budget révisé'!$C$3:$AO$3=I$2),'Budget révisé'!$C$8:$AO$500)</f>
        <v>26044.766332577725</v>
      </c>
      <c r="J68" s="297"/>
      <c r="K68" s="172"/>
      <c r="L68" s="961">
        <f>AF447*W3</f>
        <v>0</v>
      </c>
      <c r="M68" s="297"/>
      <c r="N68" s="298">
        <f t="shared" ref="N68:N69" si="48">L68-I68</f>
        <v>-26044.766332577725</v>
      </c>
      <c r="O68" s="297"/>
      <c r="P68" s="172"/>
      <c r="Q68" s="174">
        <f>AL447*W3</f>
        <v>35280.324000000001</v>
      </c>
      <c r="R68" s="297"/>
      <c r="S68" s="193">
        <f t="shared" ref="S68:S69" si="49">L68-Q68</f>
        <v>-35280.324000000001</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0.13430148223795402</v>
      </c>
      <c r="F72" s="41">
        <f>+SUM(F55:F71)</f>
        <v>298604.34819934808</v>
      </c>
      <c r="G72" s="42" t="s">
        <v>111</v>
      </c>
      <c r="H72" s="40">
        <f>I72/I$27</f>
        <v>0.13430148223795402</v>
      </c>
      <c r="I72" s="41">
        <f>+SUM(I55:I71)</f>
        <v>298604.34819934808</v>
      </c>
      <c r="J72" s="42" t="s">
        <v>111</v>
      </c>
      <c r="K72" s="40" t="e">
        <f>L72/L$27</f>
        <v>#DIV/0!</v>
      </c>
      <c r="L72" s="41">
        <f>+SUM(L55:L71)</f>
        <v>0</v>
      </c>
      <c r="M72" s="44"/>
      <c r="N72" s="41">
        <f>+SUM(N55:N71)</f>
        <v>-298604.34819934808</v>
      </c>
      <c r="O72" s="42" t="s">
        <v>111</v>
      </c>
      <c r="P72" s="40">
        <f>Q72/Q$27</f>
        <v>0.13844098848100247</v>
      </c>
      <c r="Q72" s="41">
        <f>+SUM(Q55:Q71)</f>
        <v>289845.90399999998</v>
      </c>
      <c r="R72" s="44"/>
      <c r="S72" s="310">
        <f>+SUM(S55:S71)</f>
        <v>-289845.90399999998</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0.95005362852198105</v>
      </c>
      <c r="F74" s="41">
        <f>F41+F54+F72</f>
        <v>2112338.1497502192</v>
      </c>
      <c r="G74" s="42" t="s">
        <v>111</v>
      </c>
      <c r="H74" s="40">
        <f>I74/I$27</f>
        <v>0.95005362852198105</v>
      </c>
      <c r="I74" s="41">
        <f>I41+I54+I72</f>
        <v>2112338.1497502192</v>
      </c>
      <c r="J74" s="42" t="s">
        <v>111</v>
      </c>
      <c r="K74" s="40" t="e">
        <f>L74/L$27</f>
        <v>#DIV/0!</v>
      </c>
      <c r="L74" s="41">
        <f>L41+L54+L72</f>
        <v>0</v>
      </c>
      <c r="M74" s="44"/>
      <c r="N74" s="46">
        <f>L74-I74</f>
        <v>-2112338.1497502192</v>
      </c>
      <c r="O74" s="42" t="s">
        <v>111</v>
      </c>
      <c r="P74" s="40">
        <f>Q74/Q$27</f>
        <v>1.0215475035357762</v>
      </c>
      <c r="Q74" s="41">
        <f>Q41+Q54+Q72</f>
        <v>2138755.0240000002</v>
      </c>
      <c r="R74" s="44"/>
      <c r="S74" s="293">
        <f>L74-Q74</f>
        <v>-2138755.0240000002</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51584.4</v>
      </c>
      <c r="G75" s="296"/>
      <c r="H75" s="172"/>
      <c r="I75" s="173">
        <f>+SUMPRODUCT(('Budget révisé'!$A$8:$A$500=$A75)*('Budget révisé'!$C$3:$AO$3=I$2),'Budget révisé'!$C$8:$AO$500)</f>
        <v>51584.4</v>
      </c>
      <c r="J75" s="297"/>
      <c r="K75" s="172"/>
      <c r="L75" s="548">
        <f>-SUMIFS(BV_Data_An_Cour!$Q:$Q,BV_Data_An_Cour!$V:$V,$B75,BV_Data_An_Cour!$W:$W,$C75,BV_Data_An_Cour!$X:$X,L$2)</f>
        <v>0</v>
      </c>
      <c r="M75" s="297"/>
      <c r="N75" s="298">
        <f>L75-I75</f>
        <v>-51584.4</v>
      </c>
      <c r="O75" s="297"/>
      <c r="P75" s="172"/>
      <c r="Q75" s="548">
        <f>-SUMIFS(BV_Data_An_Prec!$P:$P,BV_Data_An_Prec!$U:$U,$B75,BV_Data_An_Prec!$V:$V,$C75,BV_Data_An_Prec!$W:$W,Q$2)-Q155</f>
        <v>122276.52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826377.26801204798</v>
      </c>
      <c r="G78" s="296"/>
      <c r="H78" s="172"/>
      <c r="I78" s="173">
        <f>+SUMPRODUCT(('Budget révisé'!$A$8:$A$500=$A78)*('Budget révisé'!$C$3:$AO$3=I$2),'Budget révisé'!$C$8:$AO$500)</f>
        <v>826377.26801204798</v>
      </c>
      <c r="J78" s="297"/>
      <c r="K78" s="172"/>
      <c r="L78" s="275">
        <f>-SUMIFS(BV_Data_An_Cour!$Q:$Q,BV_Data_An_Cour!$V:$V,$B78,BV_Data_An_Cour!$W:$W,$C78,BV_Data_An_Cour!$X:$X,L$2)</f>
        <v>0</v>
      </c>
      <c r="M78" s="297"/>
      <c r="N78" s="298">
        <f t="shared" si="50"/>
        <v>-826377.26801204798</v>
      </c>
      <c r="O78" s="297"/>
      <c r="P78" s="172"/>
      <c r="Q78" s="548">
        <f>-SUMIFS(BV_Data_An_Prec!$P:$P,BV_Data_An_Prec!$U:$U,$B78,BV_Data_An_Prec!$V:$V,$C78,BV_Data_An_Prec!$W:$W,Q$2)</f>
        <v>765206.65</v>
      </c>
      <c r="R78" s="297"/>
      <c r="S78" s="193">
        <f t="shared" si="51"/>
        <v>-765206.65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283678.76078473189</v>
      </c>
      <c r="G82" s="296"/>
      <c r="H82" s="172"/>
      <c r="I82" s="173">
        <f>+SUMPRODUCT(('Budget révisé'!$A$8:$A$500=$A82)*('Budget révisé'!$C$3:$AO$3=I$2),'Budget révisé'!$C$8:$AO$500)</f>
        <v>283678.76078473189</v>
      </c>
      <c r="J82" s="297"/>
      <c r="K82" s="172"/>
      <c r="L82" s="961">
        <f>-SUMIFS(BV_Data_An_Cour!$Q:$Q,BV_Data_An_Cour!$V:$V,$B82,BV_Data_An_Cour!$W:$W,$C82,BV_Data_An_Cour!$X:$X,L$2)-L158</f>
        <v>0</v>
      </c>
      <c r="M82" s="297"/>
      <c r="N82" s="298">
        <f t="shared" si="50"/>
        <v>-283678.76078473189</v>
      </c>
      <c r="O82" s="297"/>
      <c r="P82" s="172"/>
      <c r="Q82" s="548">
        <f>-SUMIFS(BV_Data_An_Prec!$P:$P,BV_Data_An_Prec!$U:$U,$B82,BV_Data_An_Prec!$V:$V,$C82,BV_Data_An_Prec!$W:$W,Q$2)-Q158</f>
        <v>223055.88</v>
      </c>
      <c r="R82" s="297"/>
      <c r="S82" s="193">
        <f t="shared" si="51"/>
        <v>-223055.88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1161640.4287967798</v>
      </c>
      <c r="G83" s="42"/>
      <c r="H83" s="40"/>
      <c r="I83" s="41">
        <f>+SUM(I75:I82)</f>
        <v>1161640.4287967798</v>
      </c>
      <c r="J83" s="42"/>
      <c r="K83" s="40"/>
      <c r="L83" s="41">
        <f>+SUM(L75:L82)</f>
        <v>0</v>
      </c>
      <c r="M83" s="44"/>
      <c r="N83" s="41">
        <f>+SUM(N75:N82)</f>
        <v>-1161640.4287967798</v>
      </c>
      <c r="O83" s="42"/>
      <c r="P83" s="40"/>
      <c r="Q83" s="41">
        <f>+SUM(Q75:Q82)</f>
        <v>1110539.05</v>
      </c>
      <c r="R83" s="44"/>
      <c r="S83" s="310">
        <f>+SUM(S75:S82)</f>
        <v>-988262.53</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1272690.6082258611</v>
      </c>
      <c r="G85" s="430"/>
      <c r="H85" s="340"/>
      <c r="I85" s="337">
        <f>I27-I74+I83</f>
        <v>1272690.6082258611</v>
      </c>
      <c r="J85" s="430"/>
      <c r="K85" s="336"/>
      <c r="L85" s="337">
        <f>L27-L74+L83</f>
        <v>0</v>
      </c>
      <c r="M85" s="430"/>
      <c r="N85" s="337">
        <f>N27-N41-N54-N72+N83</f>
        <v>-1272690.6082258611</v>
      </c>
      <c r="O85" s="430"/>
      <c r="P85" s="336"/>
      <c r="Q85" s="337">
        <f>Q27-Q74+Q83</f>
        <v>1065426.2859999996</v>
      </c>
      <c r="R85" s="430"/>
      <c r="S85" s="341">
        <f>S27-S41-S54-S72+S83</f>
        <v>-1144531.5259999998</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Novembre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13623648.151746612</v>
      </c>
      <c r="G93" s="177"/>
      <c r="H93" s="178"/>
      <c r="I93" s="171">
        <f>+SUMPRODUCT(('Budget révisé'!$A$8:$A$500=$A93)*('Budget révisé'!$C$3:$AO$3=I$2),'Budget révisé'!$C$8:$AO$500)</f>
        <v>13623648.151746612</v>
      </c>
      <c r="J93" s="562"/>
      <c r="K93" s="178"/>
      <c r="L93" s="171">
        <f>-SUMIFS(BV_Data_An_Cour!$Q:$Q,BV_Data_An_Cour!$Y:$Y,"Oui",BV_Data_An_Cour!$V:$V,$B93)</f>
        <v>0</v>
      </c>
      <c r="M93" s="389"/>
      <c r="N93" s="390"/>
      <c r="O93" s="562"/>
      <c r="P93" s="178"/>
      <c r="Q93" s="171">
        <f>-SUMIFS(BV_Data_An_Prec!$P:$P,BV_Data_An_Prec!$X:$X,"Oui",BV_Data_An_Prec!$U:$U,$B93)</f>
        <v>15485957.850000001</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415.83737864077671</v>
      </c>
      <c r="E94" s="173">
        <f>IF(D94=0,0,F94/D94)</f>
        <v>1299.9999999999998</v>
      </c>
      <c r="F94" s="173">
        <f>+SUMPRODUCT(('Budget original'!$A$8:$A$500=$A94)*('Budget original'!$C$3:$AO$3=F$2),'Budget original'!$C$8:$AO$500)</f>
        <v>540588.59223300964</v>
      </c>
      <c r="G94" s="176">
        <f>+SUMPRODUCT(('Budget révisé'!$A$8:$A$500=$A94)*('Budget révisé'!$C$3:$AO$3=G$2),'Budget révisé'!$C$8:$AO$500)</f>
        <v>415.83737864077671</v>
      </c>
      <c r="H94" s="173">
        <f>IF(G94=0,0,I94/G94)</f>
        <v>1299.9999999999998</v>
      </c>
      <c r="I94" s="173">
        <f>+SUMPRODUCT(('Budget révisé'!$A$8:$A$500=$A94)*('Budget révisé'!$C$3:$AO$3=I$2),'Budget révisé'!$C$8:$AO$500)</f>
        <v>540588.59223300964</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-415.83737864077671</v>
      </c>
      <c r="N94" s="174">
        <f>L94-I94</f>
        <v>-540588.59223300964</v>
      </c>
      <c r="O94" s="563">
        <f>-SUMIFS(BV_Data_An_Prec!$P:$P,BV_Data_An_Prec!$U:$U,$B94,BV_Data_An_Prec!$V:$V,$C94,BV_Data_An_Prec!$W:$W,O$2)</f>
        <v>381</v>
      </c>
      <c r="P94" s="173">
        <f t="shared" ref="P94:P95" si="57">IF(O94=0,0,Q94/O94)</f>
        <v>1207.1607611548548</v>
      </c>
      <c r="Q94" s="174">
        <f>-SUMIFS(BV_Data_An_Prec!$P:$P,BV_Data_An_Prec!$U:$U,$B94,BV_Data_An_Prec!$V:$V,$C94,BV_Data_An_Prec!$W:$W,$L2)</f>
        <v>459928.24999999965</v>
      </c>
      <c r="R94" s="176">
        <f t="shared" ref="R94:R95" si="58">J94-O94</f>
        <v>-381</v>
      </c>
      <c r="S94" s="393">
        <f t="shared" ref="S94:S95" si="59">L94-Q94</f>
        <v>-459928.24999999965</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23.36165048543689</v>
      </c>
      <c r="E95" s="178">
        <f t="shared" ref="E95:E104" si="60">IF(D95=0,0,F95/D95)</f>
        <v>899.99999999999989</v>
      </c>
      <c r="F95" s="173">
        <f>+SUMPRODUCT(('Budget original'!$A$8:$A$500=$A95)*('Budget original'!$C$3:$AO$3=F$2),'Budget original'!$C$8:$AO$500)</f>
        <v>21025.485436893199</v>
      </c>
      <c r="G95" s="176">
        <f>+SUMPRODUCT(('Budget révisé'!$A$8:$A$500=$A95)*('Budget révisé'!$C$3:$AO$3=G$2),'Budget révisé'!$C$8:$AO$500)</f>
        <v>23.36165048543689</v>
      </c>
      <c r="H95" s="173">
        <f t="shared" ref="H95:H104" si="61">IF(G95=0,0,I95/G95)</f>
        <v>899.99999999999989</v>
      </c>
      <c r="I95" s="173">
        <f>+SUMPRODUCT(('Budget révisé'!$A$8:$A$500=$A95)*('Budget révisé'!$C$3:$AO$3=I$2),'Budget révisé'!$C$8:$AO$500)</f>
        <v>21025.485436893199</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11</v>
      </c>
      <c r="P95" s="173">
        <f t="shared" si="57"/>
        <v>1047.5409090909068</v>
      </c>
      <c r="Q95" s="548">
        <f>-SUMIFS(BV_Data_An_Prec!$P:$P,BV_Data_An_Prec!$U:$U,$B95,BV_Data_An_Prec!$V:$V,$C95,BV_Data_An_Prec!$W:$W,$L2)</f>
        <v>11522.949999999975</v>
      </c>
      <c r="R95" s="176">
        <f t="shared" si="58"/>
        <v>-11</v>
      </c>
      <c r="S95" s="393">
        <f t="shared" si="59"/>
        <v>-11522.949999999975</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439.19902912621359</v>
      </c>
      <c r="E96" s="173">
        <f t="shared" si="60"/>
        <v>1278.7234042553189</v>
      </c>
      <c r="F96" s="396">
        <f t="shared" ref="F96" si="62">+F94+F95</f>
        <v>561614.07766990282</v>
      </c>
      <c r="G96" s="397">
        <f>+G95+G94</f>
        <v>439.19902912621359</v>
      </c>
      <c r="H96" s="395">
        <f t="shared" si="61"/>
        <v>1278.7234042553189</v>
      </c>
      <c r="I96" s="396">
        <f t="shared" ref="I96" si="63">+I94+I95</f>
        <v>561614.07766990282</v>
      </c>
      <c r="J96" s="397">
        <f t="shared" ref="J96" si="64">+J94+J95</f>
        <v>0</v>
      </c>
      <c r="K96" s="395">
        <f>IF(J96&lt;=0,0,L96/J96)</f>
        <v>0</v>
      </c>
      <c r="L96" s="396">
        <f>+L94+L95</f>
        <v>0</v>
      </c>
      <c r="M96" s="397">
        <f>J96-G96</f>
        <v>-439.19902912621359</v>
      </c>
      <c r="N96" s="396">
        <f>L96-I96</f>
        <v>-561614.07766990282</v>
      </c>
      <c r="O96" s="397">
        <f t="shared" ref="O96" si="65">+O94+O95</f>
        <v>392</v>
      </c>
      <c r="P96" s="395">
        <f>IF(O96&lt;=0,0,Q96/O96)</f>
        <v>1202.6816326530602</v>
      </c>
      <c r="Q96" s="396">
        <f>+Q94+Q95</f>
        <v>471451.1999999996</v>
      </c>
      <c r="R96" s="397">
        <f t="shared" ref="R96:S96" si="66">R94+R95</f>
        <v>-392</v>
      </c>
      <c r="S96" s="398">
        <f t="shared" si="66"/>
        <v>-471451.1999999996</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382.18788341576743</v>
      </c>
      <c r="E99" s="173">
        <f t="shared" si="60"/>
        <v>212</v>
      </c>
      <c r="F99" s="173">
        <f>+SUMPRODUCT(('Budget original'!$A$8:$A$500=$A99)*('Budget original'!$C$3:$AO$3=F$2),'Budget original'!$C$8:$AO$500)</f>
        <v>81023.831284142696</v>
      </c>
      <c r="G99" s="173">
        <f>+SUMPRODUCT(('Budget révisé'!$A$8:$A$500=$A99)*('Budget révisé'!$C$3:$AO$3=G$2),'Budget révisé'!$C$8:$AO$500)</f>
        <v>382.18788341576743</v>
      </c>
      <c r="H99" s="173">
        <f t="shared" si="61"/>
        <v>212</v>
      </c>
      <c r="I99" s="173">
        <f>+SUMPRODUCT(('Budget révisé'!$A$8:$A$500=$A99)*('Budget révisé'!$C$3:$AO$3=I$2),'Budget révisé'!$C$8:$AO$500)</f>
        <v>81023.831284142696</v>
      </c>
      <c r="J99" s="176">
        <f>-SUMIFS(BV_Data_An_Cour!$Q:$Q,BV_Data_An_Cour!$V:$V,$B99,BV_Data_An_Cour!$W:$W,$C99,BV_Data_An_Cour!$X:$X,J$2)</f>
        <v>0</v>
      </c>
      <c r="K99" s="173">
        <f t="shared" si="67"/>
        <v>0</v>
      </c>
      <c r="L99" s="174">
        <f>-SUMIFS(BV_Data_An_Cour!$Q:$Q,BV_Data_An_Cour!$V:$V,$B99,BV_Data_An_Cour!$W:$W,$C99,BV_Data_An_Cour!$X:$X,L$2)</f>
        <v>0</v>
      </c>
      <c r="M99" s="176">
        <f t="shared" si="68"/>
        <v>-382.18788341576743</v>
      </c>
      <c r="N99" s="174">
        <f t="shared" si="69"/>
        <v>-81023.831284142696</v>
      </c>
      <c r="O99" s="176">
        <f>-SUMIFS(BV_Data_An_Prec!$P:$P,BV_Data_An_Prec!$U:$U,$B99,BV_Data_An_Prec!$V:$V,$C99,BV_Data_An_Prec!$W:$W,O$2)</f>
        <v>451</v>
      </c>
      <c r="P99" s="173">
        <f t="shared" si="70"/>
        <v>307.94494456762732</v>
      </c>
      <c r="Q99" s="174">
        <f>-SUMIFS(BV_Data_An_Prec!$P:$P,BV_Data_An_Prec!$U:$U,$B99,BV_Data_An_Prec!$V:$V,$C99,BV_Data_An_Prec!$W:$W,Q$2)</f>
        <v>138883.16999999993</v>
      </c>
      <c r="R99" s="176">
        <f t="shared" si="71"/>
        <v>-451</v>
      </c>
      <c r="S99" s="393">
        <f t="shared" si="72"/>
        <v>-138883.16999999993</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289414.99282100203</v>
      </c>
      <c r="G101" s="176">
        <f>+SUMPRODUCT(('Budget révisé'!$A$8:$A$500=$A101)*('Budget révisé'!$C$3:$AO$3=G$2),'Budget révisé'!$C$8:$AO$500)</f>
        <v>0</v>
      </c>
      <c r="H101" s="173">
        <f t="shared" si="61"/>
        <v>0</v>
      </c>
      <c r="I101" s="173">
        <f>+SUMPRODUCT(('Budget révisé'!$A$8:$A$500=$A101)*('Budget révisé'!$C$3:$AO$3=I$2),'Budget révisé'!$C$8:$AO$500)</f>
        <v>289414.99282100203</v>
      </c>
      <c r="J101" s="176"/>
      <c r="K101" s="173">
        <f>IF(J96=0,0,L101/J96)</f>
        <v>0</v>
      </c>
      <c r="L101" s="174">
        <f>-SUMIFS(BV_Data_An_Cour!$Q:$Q,BV_Data_An_Cour!$V:$V,$B101,BV_Data_An_Cour!$W:$W,$C101,BV_Data_An_Cour!$X:$X,$L2)</f>
        <v>0</v>
      </c>
      <c r="M101" s="176"/>
      <c r="N101" s="174">
        <f t="shared" ref="N101:N104" si="73">L101-I101</f>
        <v>-289414.99282100203</v>
      </c>
      <c r="O101" s="176"/>
      <c r="P101" s="173">
        <f>IF(O96=0,0,Q101/O96)</f>
        <v>776.75091836734691</v>
      </c>
      <c r="Q101" s="174">
        <f>-SUMIFS(BV_Data_An_Prec!$P:$P,BV_Data_An_Prec!$U:$U,$B101,BV_Data_An_Prec!$V:$V,$C101,BV_Data_An_Prec!$W:$W,$L2)</f>
        <v>304486.36</v>
      </c>
      <c r="R101" s="176">
        <f t="shared" ref="R101:R103" si="74">O101-K101</f>
        <v>0</v>
      </c>
      <c r="S101" s="393">
        <f t="shared" ref="S101:S104" si="75">L101-Q101</f>
        <v>-304486.36</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510281.05541882617</v>
      </c>
      <c r="G102" s="176">
        <f>+SUMPRODUCT(('Budget révisé'!$A$8:$A$500=$A102)*('Budget révisé'!$C$3:$AO$3=G$2),'Budget révisé'!$C$8:$AO$500)</f>
        <v>0</v>
      </c>
      <c r="H102" s="173">
        <f t="shared" si="61"/>
        <v>0</v>
      </c>
      <c r="I102" s="173">
        <f>+SUMPRODUCT(('Budget révisé'!$A$8:$A$500=$A102)*('Budget révisé'!$C$3:$AO$3=I$2),'Budget révisé'!$C$8:$AO$500)</f>
        <v>510281.05541882617</v>
      </c>
      <c r="J102" s="176"/>
      <c r="K102" s="173">
        <f>IF(J96=0,0,L102/J96)</f>
        <v>0</v>
      </c>
      <c r="L102" s="174">
        <f>-SUMIFS(BV_Data_An_Cour!$Q:$Q,BV_Data_An_Cour!$V:$V,$B102,BV_Data_An_Cour!$W:$W,$C102,BV_Data_An_Cour!$X:$X,$L2)</f>
        <v>0</v>
      </c>
      <c r="M102" s="176"/>
      <c r="N102" s="174">
        <f t="shared" si="73"/>
        <v>-510281.05541882617</v>
      </c>
      <c r="O102" s="176"/>
      <c r="P102" s="173">
        <f>IF(O96=0,0,Q102/O96)</f>
        <v>1206.0418112244897</v>
      </c>
      <c r="Q102" s="174">
        <f>-SUMIFS(BV_Data_An_Prec!$P:$P,BV_Data_An_Prec!$U:$U,$B102,BV_Data_An_Prec!$V:$V,$C102,BV_Data_An_Prec!$W:$W,$L2)</f>
        <v>472768.39</v>
      </c>
      <c r="R102" s="176">
        <f t="shared" si="74"/>
        <v>0</v>
      </c>
      <c r="S102" s="393">
        <f t="shared" si="75"/>
        <v>-472768.39</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14473.016761311594</v>
      </c>
      <c r="G103" s="176">
        <f>+SUMPRODUCT(('Budget révisé'!$A$8:$A$500=$A103)*('Budget révisé'!$C$3:$AO$3=G$2),'Budget révisé'!$C$8:$AO$500)</f>
        <v>0</v>
      </c>
      <c r="H103" s="401">
        <f t="shared" si="61"/>
        <v>0</v>
      </c>
      <c r="I103" s="173">
        <f>+SUMPRODUCT(('Budget révisé'!$A$8:$A$500=$A103)*('Budget révisé'!$C$3:$AO$3=I$2),'Budget révisé'!$C$8:$AO$500)</f>
        <v>14473.016761311594</v>
      </c>
      <c r="J103" s="176"/>
      <c r="K103" s="401">
        <f>IF(J96=0,0,L103/J96)</f>
        <v>0</v>
      </c>
      <c r="L103" s="174">
        <f>-SUMIFS(BV_Data_An_Cour!$Q:$Q,BV_Data_An_Cour!$V:$V,$B103,BV_Data_An_Cour!$W:$W,$C103,BV_Data_An_Cour!$X:$X,$L$2)</f>
        <v>0</v>
      </c>
      <c r="M103" s="400"/>
      <c r="N103" s="174">
        <f t="shared" si="73"/>
        <v>-14473.016761311594</v>
      </c>
      <c r="O103" s="176"/>
      <c r="P103" s="401">
        <f>IF(O96=0,0,Q103/O96)</f>
        <v>52.034591836734698</v>
      </c>
      <c r="Q103" s="174">
        <f>-SUMIFS(BV_Data_An_Prec!$P:$P,BV_Data_An_Prec!$U:$U,$B103,BV_Data_An_Prec!$V:$V,$C103,BV_Data_An_Prec!$W:$W,$L$2)</f>
        <v>20397.560000000001</v>
      </c>
      <c r="R103" s="176">
        <f t="shared" si="74"/>
        <v>0</v>
      </c>
      <c r="S103" s="393">
        <f t="shared" si="75"/>
        <v>-20397.560000000001</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439.19902912621359</v>
      </c>
      <c r="E104" s="173">
        <f t="shared" si="60"/>
        <v>1853.758799560484</v>
      </c>
      <c r="F104" s="396">
        <f>F101+F102+F103</f>
        <v>814169.06500113977</v>
      </c>
      <c r="G104" s="397">
        <f>G96</f>
        <v>439.19902912621359</v>
      </c>
      <c r="H104" s="395">
        <f t="shared" si="61"/>
        <v>1853.758799560484</v>
      </c>
      <c r="I104" s="396">
        <f>I101+I102+I103</f>
        <v>814169.06500113977</v>
      </c>
      <c r="J104" s="397">
        <f>J96</f>
        <v>0</v>
      </c>
      <c r="K104" s="395">
        <f>IF(J104&lt;=0,0,L104/J104)</f>
        <v>0</v>
      </c>
      <c r="L104" s="396">
        <f>L101+L102+L103</f>
        <v>0</v>
      </c>
      <c r="M104" s="176">
        <f>J104-G104</f>
        <v>-439.19902912621359</v>
      </c>
      <c r="N104" s="396">
        <f t="shared" si="73"/>
        <v>-814169.06500113977</v>
      </c>
      <c r="O104" s="397">
        <f>O96</f>
        <v>392</v>
      </c>
      <c r="P104" s="395">
        <f>IF(O104&lt;=0,0,Q104/O104)</f>
        <v>2034.8273214285716</v>
      </c>
      <c r="Q104" s="396">
        <f>Q101+Q102+Q103</f>
        <v>797652.31</v>
      </c>
      <c r="R104" s="405"/>
      <c r="S104" s="398">
        <f t="shared" si="75"/>
        <v>-797652.31</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821.38691254198102</v>
      </c>
      <c r="E107" s="30">
        <f>IF(D107&lt;=0,0,F107/D107)</f>
        <v>1773.5940903255239</v>
      </c>
      <c r="F107" s="28">
        <f>F96+F104+F99</f>
        <v>1456806.9739551854</v>
      </c>
      <c r="G107" s="29">
        <f>G96+G99</f>
        <v>821.38691254198102</v>
      </c>
      <c r="H107" s="30">
        <f>IF(G107&lt;=0,0,I107/G107)</f>
        <v>1773.5940903255239</v>
      </c>
      <c r="I107" s="28">
        <f>I96+I104+I99</f>
        <v>1456806.9739551854</v>
      </c>
      <c r="J107" s="29">
        <f>J96+J99</f>
        <v>0</v>
      </c>
      <c r="K107" s="30">
        <f>IF(J107&lt;=0,0,L107/J107)</f>
        <v>0</v>
      </c>
      <c r="L107" s="28">
        <f>L96+L104+L99</f>
        <v>0</v>
      </c>
      <c r="M107" s="29">
        <f>J107-G107</f>
        <v>-821.38691254198102</v>
      </c>
      <c r="N107" s="28">
        <f>L107-I107</f>
        <v>-1456806.9739551854</v>
      </c>
      <c r="O107" s="29">
        <f>O96+O99</f>
        <v>843</v>
      </c>
      <c r="P107" s="30">
        <f>IF(O107&lt;=0,0,Q107/O107)</f>
        <v>1670.2095848161325</v>
      </c>
      <c r="Q107" s="28">
        <f>Q96+Q104+Q99</f>
        <v>1407986.6799999997</v>
      </c>
      <c r="R107" s="29">
        <f>J107-O107</f>
        <v>-843</v>
      </c>
      <c r="S107" s="357">
        <f>L107-Q107</f>
        <v>-1407986.6799999997</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507.08799392097256</v>
      </c>
      <c r="F111" s="173">
        <f>+SUMPRODUCT(('Budget original'!$A$8:$A$500=$A111)*('Budget original'!$C$3:$AO$3=F$2),'Budget original'!$C$8:$AO$500)</f>
        <v>222712.55461165044</v>
      </c>
      <c r="G111" s="296"/>
      <c r="H111" s="191">
        <f t="shared" ref="H111:H116" si="77">I111/G$96</f>
        <v>507.08799392097256</v>
      </c>
      <c r="I111" s="173">
        <f>+SUMPRODUCT(('Budget révisé'!$A$8:$A$500=$A111)*('Budget révisé'!$C$3:$AO$3=I$2),'Budget révisé'!$C$8:$AO$500)</f>
        <v>222712.55461165044</v>
      </c>
      <c r="J111" s="952"/>
      <c r="K111" s="191">
        <f t="shared" ref="K111:K116" si="78">IF($J$96=0,0,L111/(J$94+J$95))</f>
        <v>0</v>
      </c>
      <c r="L111" s="174">
        <f>SUMIFS(BV_Data_An_Cour!$Q:$Q,BV_Data_An_Cour!$V:$V,$B111,BV_Data_An_Cour!$W:$W,$C111,BV_Data_An_Cour!$X:$X,$L$2)</f>
        <v>0</v>
      </c>
      <c r="M111" s="297"/>
      <c r="N111" s="298">
        <f t="shared" ref="N111:N121" si="79">L111-I111</f>
        <v>-222712.55461165044</v>
      </c>
      <c r="O111" s="297"/>
      <c r="P111" s="191">
        <f t="shared" ref="P111:P116" si="80">IF($J$96=0,0,Q111/(O$94+O$95))</f>
        <v>0</v>
      </c>
      <c r="Q111" s="174">
        <f>SUMIFS(BV_Data_An_Prec!$P:$P,BV_Data_An_Prec!$U:$U,$B111,BV_Data_An_Prec!$V:$V,$C111,BV_Data_An_Prec!$W:$W,$L$2)</f>
        <v>200727.67999999999</v>
      </c>
      <c r="R111" s="297"/>
      <c r="S111" s="193">
        <f t="shared" ref="S111:S121" si="81">L111-Q111</f>
        <v>-200727.67999999999</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244250.71950034195</v>
      </c>
      <c r="G112" s="303"/>
      <c r="H112" s="407">
        <f t="shared" si="77"/>
        <v>556.12763986814525</v>
      </c>
      <c r="I112" s="171">
        <f>+SUMPRODUCT(('Budget révisé'!$A$8:$A$500=$A112)*('Budget révisé'!$C$3:$AO$3=I$2),'Budget révisé'!$C$8:$AO$500)</f>
        <v>244250.71950034195</v>
      </c>
      <c r="J112" s="953" t="e">
        <f>L112/L104</f>
        <v>#DIV/0!</v>
      </c>
      <c r="K112" s="407">
        <f t="shared" si="78"/>
        <v>0</v>
      </c>
      <c r="L112" s="174">
        <f>SUMIFS(BV_Data_An_Cour!$Q:$Q,BV_Data_An_Cour!$V:$V,$B112,BV_Data_An_Cour!$W:$W,$C112,BV_Data_An_Cour!$X:$X,$L$2)</f>
        <v>0</v>
      </c>
      <c r="M112" s="304"/>
      <c r="N112" s="305">
        <f t="shared" si="79"/>
        <v>-244250.71950034195</v>
      </c>
      <c r="O112" s="304"/>
      <c r="P112" s="407">
        <f t="shared" si="80"/>
        <v>0</v>
      </c>
      <c r="Q112" s="174">
        <f>SUMIFS(BV_Data_An_Prec!$P:$P,BV_Data_An_Prec!$U:$U,$B112,BV_Data_An_Prec!$V:$V,$C112,BV_Data_An_Prec!$W:$W,$L$2)</f>
        <v>242550.06</v>
      </c>
      <c r="R112" s="304"/>
      <c r="S112" s="196">
        <f t="shared" si="81"/>
        <v>-242550.06</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69.809353301886787</v>
      </c>
      <c r="F113" s="173">
        <f>+SUMPRODUCT(('Budget original'!$A$8:$A$500=$A113)*('Budget original'!$C$3:$AO$3=F$2),'Budget original'!$C$8:$AO$500)</f>
        <v>30660.200194117511</v>
      </c>
      <c r="G113" s="296"/>
      <c r="H113" s="191">
        <f t="shared" si="77"/>
        <v>69.809353301886787</v>
      </c>
      <c r="I113" s="173">
        <f>+SUMPRODUCT(('Budget révisé'!$A$8:$A$500=$A113)*('Budget révisé'!$C$3:$AO$3=I$2),'Budget révisé'!$C$8:$AO$500)</f>
        <v>30660.200194117511</v>
      </c>
      <c r="J113" s="297"/>
      <c r="K113" s="191">
        <f t="shared" si="78"/>
        <v>0</v>
      </c>
      <c r="L113" s="175">
        <f>SUMIFS(BV_Data_An_Cour!$Q:$Q,BV_Data_An_Cour!$V:$V,$B113,BV_Data_An_Cour!$W:$W,$C113,BV_Data_An_Cour!$X:$X,$L$2)</f>
        <v>0</v>
      </c>
      <c r="M113" s="297"/>
      <c r="N113" s="298">
        <f t="shared" si="79"/>
        <v>-30660.200194117511</v>
      </c>
      <c r="O113" s="297"/>
      <c r="P113" s="191">
        <f t="shared" si="80"/>
        <v>0</v>
      </c>
      <c r="Q113" s="175">
        <f>SUMIFS(BV_Data_An_Prec!$P:$P,BV_Data_An_Prec!$U:$U,$B113,BV_Data_An_Prec!$V:$V,$C113,BV_Data_An_Prec!$W:$W,$L$2)</f>
        <v>27379.53</v>
      </c>
      <c r="R113" s="297"/>
      <c r="S113" s="193">
        <f t="shared" si="81"/>
        <v>-27379.53</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14718.00524267551</v>
      </c>
      <c r="G114" s="296"/>
      <c r="H114" s="191">
        <f t="shared" si="77"/>
        <v>33.51101497641509</v>
      </c>
      <c r="I114" s="173">
        <f>+SUMPRODUCT(('Budget révisé'!$A$8:$A$500=$A114)*('Budget révisé'!$C$3:$AO$3=I$2),'Budget révisé'!$C$8:$AO$500)</f>
        <v>14718.00524267551</v>
      </c>
      <c r="J114" s="297"/>
      <c r="K114" s="191">
        <f t="shared" si="78"/>
        <v>0</v>
      </c>
      <c r="L114" s="174">
        <f>SUMIFS(BV_Data_An_Cour!$Q:$Q,BV_Data_An_Cour!$V:$V,$B114,BV_Data_An_Cour!$W:$W,$C114,BV_Data_An_Cour!$X:$X,$L$2)</f>
        <v>0</v>
      </c>
      <c r="M114" s="297"/>
      <c r="N114" s="298">
        <f t="shared" si="79"/>
        <v>-14718.00524267551</v>
      </c>
      <c r="O114" s="297"/>
      <c r="P114" s="191">
        <f t="shared" si="80"/>
        <v>0</v>
      </c>
      <c r="Q114" s="174">
        <f>SUMIFS(BV_Data_An_Prec!$P:$P,BV_Data_An_Prec!$U:$U,$B114,BV_Data_An_Prec!$V:$V,$C114,BV_Data_An_Prec!$W:$W,$L$2)</f>
        <v>15735.38</v>
      </c>
      <c r="R114" s="297"/>
      <c r="S114" s="193">
        <f t="shared" si="81"/>
        <v>-15735.38</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38891.053312190881</v>
      </c>
      <c r="G115" s="303"/>
      <c r="H115" s="407">
        <f t="shared" si="77"/>
        <v>88.549952830188687</v>
      </c>
      <c r="I115" s="171">
        <f>+SUMPRODUCT(('Budget révisé'!$A$8:$A$500=$A115)*('Budget révisé'!$C$3:$AO$3=I$2),'Budget révisé'!$C$8:$AO$500)</f>
        <v>38891.053312190881</v>
      </c>
      <c r="J115" s="304"/>
      <c r="K115" s="407">
        <f t="shared" si="78"/>
        <v>0</v>
      </c>
      <c r="L115" s="399">
        <f>SUMIFS(BV_Data_An_Cour!$Q:$Q,BV_Data_An_Cour!$V:$V,$B115,BV_Data_An_Cour!$W:$W,$C115,BV_Data_An_Cour!$X:$X,$L$2)</f>
        <v>0</v>
      </c>
      <c r="M115" s="304"/>
      <c r="N115" s="305">
        <f t="shared" si="79"/>
        <v>-38891.053312190881</v>
      </c>
      <c r="O115" s="304"/>
      <c r="P115" s="407">
        <f t="shared" si="80"/>
        <v>0</v>
      </c>
      <c r="Q115" s="399">
        <f>SUMIFS(BV_Data_An_Prec!$P:$P,BV_Data_An_Prec!$U:$U,$B115,BV_Data_An_Prec!$V:$V,$C115,BV_Data_An_Prec!$W:$W,$L$2)</f>
        <v>37120.61</v>
      </c>
      <c r="R115" s="304"/>
      <c r="S115" s="196">
        <f t="shared" si="81"/>
        <v>-37120.61</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42.755319148936181</v>
      </c>
      <c r="F116" s="173">
        <f>+SUMPRODUCT(('Budget original'!$A$8:$A$500=$A116)*('Budget original'!$C$3:$AO$3=F$2),'Budget original'!$C$8:$AO$500)</f>
        <v>18778.09466019418</v>
      </c>
      <c r="G116" s="296"/>
      <c r="H116" s="191">
        <f t="shared" si="77"/>
        <v>42.755319148936181</v>
      </c>
      <c r="I116" s="173">
        <f>+SUMPRODUCT(('Budget révisé'!$A$8:$A$500=$A116)*('Budget révisé'!$C$3:$AO$3=I$2),'Budget révisé'!$C$8:$AO$500)</f>
        <v>18778.09466019418</v>
      </c>
      <c r="J116" s="297"/>
      <c r="K116" s="191">
        <f t="shared" si="78"/>
        <v>0</v>
      </c>
      <c r="L116" s="174">
        <f>SUMIFS(BV_Data_An_Cour!$Q:$Q,BV_Data_An_Cour!$V:$V,$B116,BV_Data_An_Cour!$W:$W,$C116,BV_Data_An_Cour!$X:$X,$L$2)</f>
        <v>0</v>
      </c>
      <c r="M116" s="297"/>
      <c r="N116" s="298">
        <f t="shared" si="79"/>
        <v>-18778.09466019418</v>
      </c>
      <c r="O116" s="297"/>
      <c r="P116" s="191">
        <f t="shared" si="80"/>
        <v>0</v>
      </c>
      <c r="Q116" s="174">
        <f>SUMIFS(BV_Data_An_Prec!$P:$P,BV_Data_An_Prec!$U:$U,$B116,BV_Data_An_Prec!$V:$V,$C116,BV_Data_An_Prec!$W:$W,$L$2)</f>
        <v>32413.190000000002</v>
      </c>
      <c r="R116" s="297"/>
      <c r="S116" s="193">
        <f t="shared" si="81"/>
        <v>-32413.190000000002</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21.029133618066933</v>
      </c>
      <c r="F117" s="173">
        <f>+SUMPRODUCT(('Budget original'!$A$8:$A$500=$A117)*('Budget original'!$C$3:$AO$3=F$2),'Budget original'!$C$8:$AO$500)</f>
        <v>9235.9750684204155</v>
      </c>
      <c r="G117" s="296"/>
      <c r="H117" s="191">
        <f t="shared" ref="H117:H119" si="84">I117/G$96</f>
        <v>21.029133618066933</v>
      </c>
      <c r="I117" s="173">
        <f>+SUMPRODUCT(('Budget révisé'!$A$8:$A$500=$A117)*('Budget révisé'!$C$3:$AO$3=I$2),'Budget révisé'!$C$8:$AO$500)</f>
        <v>9235.9750684204155</v>
      </c>
      <c r="J117" s="297"/>
      <c r="K117" s="191">
        <f t="shared" ref="K117:K119" si="85">IF($J$96=0,0,L117/(J$94+J$95))</f>
        <v>0</v>
      </c>
      <c r="L117" s="174">
        <f>SUMIFS(BV_Data_An_Cour!$Q:$Q,BV_Data_An_Cour!$V:$V,$B117,BV_Data_An_Cour!$W:$W,$C117,BV_Data_An_Cour!$X:$X,$L$2)</f>
        <v>0</v>
      </c>
      <c r="M117" s="297"/>
      <c r="N117" s="298">
        <f t="shared" ref="N117:N119" si="86">L117-I117</f>
        <v>-9235.9750684204155</v>
      </c>
      <c r="O117" s="297"/>
      <c r="P117" s="191">
        <f t="shared" ref="P117:P119" si="87">IF($J$96=0,0,Q117/(O$94+O$95))</f>
        <v>0</v>
      </c>
      <c r="Q117" s="174">
        <f>SUMIFS(BV_Data_An_Prec!$P:$P,BV_Data_An_Prec!$U:$U,$B117,BV_Data_An_Prec!$V:$V,$C117,BV_Data_An_Prec!$W:$W,$L$2)</f>
        <v>5741.82</v>
      </c>
      <c r="R117" s="297"/>
      <c r="S117" s="193">
        <f t="shared" ref="S117:S119" si="88">L117-Q117</f>
        <v>-5741.82</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0.39761383144463841</v>
      </c>
      <c r="F121" s="41">
        <f>SUM(F111:F120)</f>
        <v>579246.60258959082</v>
      </c>
      <c r="G121" s="42" t="s">
        <v>111</v>
      </c>
      <c r="H121" s="40">
        <f>I121/I$107</f>
        <v>0.39761383144463841</v>
      </c>
      <c r="I121" s="41">
        <f>SUM(I111:I120)</f>
        <v>579246.60258959082</v>
      </c>
      <c r="J121" s="42" t="s">
        <v>111</v>
      </c>
      <c r="K121" s="40" t="e">
        <f>L121/L$107</f>
        <v>#DIV/0!</v>
      </c>
      <c r="L121" s="41">
        <f>SUM(L111:L120)</f>
        <v>0</v>
      </c>
      <c r="M121" s="44"/>
      <c r="N121" s="41">
        <f t="shared" si="79"/>
        <v>-579246.60258959082</v>
      </c>
      <c r="O121" s="42" t="s">
        <v>111</v>
      </c>
      <c r="P121" s="40">
        <f>Q121/Q$107</f>
        <v>0.39891589741459771</v>
      </c>
      <c r="Q121" s="41">
        <f>SUM(Q111:Q120)</f>
        <v>561668.2699999999</v>
      </c>
      <c r="R121" s="44"/>
      <c r="S121" s="310">
        <f t="shared" si="81"/>
        <v>-561668.2699999999</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88108.790038314197</v>
      </c>
      <c r="G122" s="297"/>
      <c r="H122" s="172"/>
      <c r="I122" s="173">
        <f>+SUMPRODUCT(('Budget révisé'!$A$8:$A$500=$A122)*('Budget révisé'!$C$3:$AO$3=I$2),'Budget révisé'!$C$8:$AO$500)</f>
        <v>88108.790038314197</v>
      </c>
      <c r="J122" s="297"/>
      <c r="K122" s="172"/>
      <c r="L122" s="275">
        <f>SUMIFS(BV_Data_An_Cour!$Q:$Q,BV_Data_An_Cour!$V:$V,$B122,BV_Data_An_Cour!$W:$W,$C122,BV_Data_An_Cour!$X:$X,$L$2)</f>
        <v>0</v>
      </c>
      <c r="M122" s="297"/>
      <c r="N122" s="298">
        <f t="shared" ref="N122:N152" si="89">L122-I122</f>
        <v>-88108.790038314197</v>
      </c>
      <c r="O122" s="297"/>
      <c r="P122" s="172"/>
      <c r="Q122" s="174">
        <f>SUMIFS(BV_Data_An_Prec!$P:$P,BV_Data_An_Prec!$U:$U,$B122,BV_Data_An_Prec!$V:$V,$C122,BV_Data_An_Prec!$W:$W,$L$2)</f>
        <v>104894.43</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23621.915261961691</v>
      </c>
      <c r="G123" s="296"/>
      <c r="H123" s="172"/>
      <c r="I123" s="171">
        <f>+SUMPRODUCT(('Budget révisé'!$A$8:$A$500=$A123)*('Budget révisé'!$C$3:$AO$3=I$2),'Budget révisé'!$C$8:$AO$500)</f>
        <v>23621.915261961691</v>
      </c>
      <c r="J123" s="297"/>
      <c r="K123" s="172"/>
      <c r="L123" s="171">
        <f>SUMIFS(BV_Data_An_Cour!$Q:$Q,BV_Data_An_Cour!$V:$V,$B123,BV_Data_An_Cour!$W:$W,$C123,BV_Data_An_Cour!$X:$X,$L$2)</f>
        <v>0</v>
      </c>
      <c r="M123" s="297"/>
      <c r="N123" s="298">
        <f t="shared" si="89"/>
        <v>-23621.915261961691</v>
      </c>
      <c r="O123" s="297"/>
      <c r="P123" s="172"/>
      <c r="Q123" s="171">
        <f>SUMIFS(BV_Data_An_Prec!$P:$P,BV_Data_An_Prec!$U:$U,$B123,BV_Data_An_Prec!$V:$V,$C123,BV_Data_An_Prec!$W:$W,$L$2)</f>
        <v>22369.4</v>
      </c>
      <c r="R123" s="297"/>
      <c r="S123" s="193">
        <f t="shared" ref="S123:S152" si="90">L123-Q123</f>
        <v>-22369.4</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88598.69282562453</v>
      </c>
      <c r="G124" s="387"/>
      <c r="H124" s="346"/>
      <c r="I124" s="173">
        <f>+SUMPRODUCT(('Budget révisé'!$A$8:$A$500=$A124)*('Budget révisé'!$C$3:$AO$3=I$2),'Budget révisé'!$C$8:$AO$500)</f>
        <v>88598.69282562453</v>
      </c>
      <c r="J124" s="362"/>
      <c r="K124" s="346"/>
      <c r="L124" s="275">
        <f>SUMIFS(BV_Data_An_Cour!$Q:$Q,BV_Data_An_Cour!$V:$V,$B124,BV_Data_An_Cour!$W:$W,$C124,BV_Data_An_Cour!$X:$X,$L$2)</f>
        <v>0</v>
      </c>
      <c r="M124" s="362"/>
      <c r="N124" s="350">
        <f t="shared" si="89"/>
        <v>-88598.69282562453</v>
      </c>
      <c r="O124" s="362"/>
      <c r="P124" s="346"/>
      <c r="Q124" s="174">
        <f>SUMIFS(BV_Data_An_Prec!$P:$P,BV_Data_An_Prec!$U:$U,$B124,BV_Data_An_Prec!$V:$V,$C124,BV_Data_An_Prec!$W:$W,$L$2)</f>
        <v>84952.42</v>
      </c>
      <c r="R124" s="362"/>
      <c r="S124" s="195">
        <f t="shared" si="90"/>
        <v>-84952.42</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77918.675552904329</v>
      </c>
      <c r="G129" s="296"/>
      <c r="H129" s="172"/>
      <c r="I129" s="173">
        <f>+SUMPRODUCT(('Budget révisé'!$A$8:$A$500=$A129)*('Budget révisé'!$C$3:$AO$3=I$2),'Budget révisé'!$C$8:$AO$500)</f>
        <v>77918.675552904329</v>
      </c>
      <c r="J129" s="297"/>
      <c r="K129" s="172"/>
      <c r="L129" s="174">
        <f>SUMIFS(BV_Data_An_Cour!$Q:$Q,BV_Data_An_Cour!$V:$V,$B129,BV_Data_An_Cour!$W:$W,$C129,BV_Data_An_Cour!$X:$X,$L$2)</f>
        <v>0</v>
      </c>
      <c r="M129" s="297"/>
      <c r="N129" s="298">
        <f t="shared" si="92"/>
        <v>-77918.675552904329</v>
      </c>
      <c r="O129" s="297"/>
      <c r="P129" s="172"/>
      <c r="Q129" s="174">
        <f>SUMIFS(BV_Data_An_Prec!$P:$P,BV_Data_An_Prec!$U:$U,$B129,BV_Data_An_Prec!$V:$V,$C129,BV_Data_An_Prec!$W:$W,$L$2)</f>
        <v>37949.769999999997</v>
      </c>
      <c r="R129" s="297"/>
      <c r="S129" s="193">
        <f t="shared" si="93"/>
        <v>-37949.769999999997</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69784.161068281057</v>
      </c>
      <c r="G130" s="281"/>
      <c r="H130" s="280"/>
      <c r="I130" s="626">
        <f>+SUMPRODUCT(('Budget révisé'!$A$8:$A$500=$A130)*('Budget révisé'!$C$3:$AO$3=I$2),'Budget révisé'!$C$8:$AO$500)</f>
        <v>69784.161068281057</v>
      </c>
      <c r="J130" s="282"/>
      <c r="K130" s="280"/>
      <c r="L130" s="627">
        <f>SUMIFS(BV_Data_An_Cour!$Q:$Q,BV_Data_An_Cour!$V:$V,$B130,BV_Data_An_Cour!$W:$W,$C130,BV_Data_An_Cour!$X:$X,$L$2)</f>
        <v>0</v>
      </c>
      <c r="M130" s="282"/>
      <c r="N130" s="350">
        <f t="shared" si="89"/>
        <v>-69784.161068281057</v>
      </c>
      <c r="O130" s="282"/>
      <c r="P130" s="280"/>
      <c r="Q130" s="627">
        <f>SUMIFS(BV_Data_An_Prec!$P:$P,BV_Data_An_Prec!$U:$U,$B130,BV_Data_An_Prec!$V:$V,$C130,BV_Data_An_Prec!$W:$W,$L$2)</f>
        <v>65752.92</v>
      </c>
      <c r="R130" s="282"/>
      <c r="S130" s="284">
        <f t="shared" si="90"/>
        <v>-65752.92</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55416.833789517317</v>
      </c>
      <c r="G131" s="277"/>
      <c r="H131" s="227"/>
      <c r="I131" s="225">
        <f>+SUMPRODUCT(('Budget révisé'!$A$8:$A$500=$A131)*('Budget révisé'!$C$3:$AO$3=I$2),'Budget révisé'!$C$8:$AO$500)</f>
        <v>55416.833789517317</v>
      </c>
      <c r="J131" s="221"/>
      <c r="K131" s="227"/>
      <c r="L131" s="275">
        <f>SUMIFS(BV_Data_An_Cour!$Q:$Q,BV_Data_An_Cour!$V:$V,$B131,BV_Data_An_Cour!$W:$W,$C131,BV_Data_An_Cour!$X:$X,$L$2)</f>
        <v>0</v>
      </c>
      <c r="M131" s="221"/>
      <c r="N131" s="298">
        <f t="shared" si="89"/>
        <v>-55416.833789517317</v>
      </c>
      <c r="O131" s="221"/>
      <c r="P131" s="227"/>
      <c r="Q131" s="275">
        <f>SUMIFS(BV_Data_An_Prec!$P:$P,BV_Data_An_Prec!$U:$U,$B131,BV_Data_An_Prec!$V:$V,$C131,BV_Data_An_Prec!$W:$W,$L$2)</f>
        <v>47122.92</v>
      </c>
      <c r="R131" s="221"/>
      <c r="S131" s="278">
        <f t="shared" si="90"/>
        <v>-47122.92</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22577.228580914467</v>
      </c>
      <c r="G132" s="277"/>
      <c r="H132" s="227"/>
      <c r="I132" s="225">
        <f>+SUMPRODUCT(('Budget révisé'!$A$8:$A$500=$A132)*('Budget révisé'!$C$3:$AO$3=I$2),'Budget révisé'!$C$8:$AO$500)</f>
        <v>22577.228580914467</v>
      </c>
      <c r="J132" s="221"/>
      <c r="K132" s="227"/>
      <c r="L132" s="275">
        <f>SUMIFS(BV_Data_An_Cour!$Q:$Q,BV_Data_An_Cour!$V:$V,$B132,BV_Data_An_Cour!$W:$W,$C132,BV_Data_An_Cour!$X:$X,$L$2)</f>
        <v>0</v>
      </c>
      <c r="M132" s="221"/>
      <c r="N132" s="298">
        <f t="shared" si="89"/>
        <v>-22577.228580914467</v>
      </c>
      <c r="O132" s="221"/>
      <c r="P132" s="227"/>
      <c r="Q132" s="275">
        <f>SUMIFS(BV_Data_An_Prec!$P:$P,BV_Data_An_Prec!$U:$U,$B132,BV_Data_An_Prec!$V:$V,$C132,BV_Data_An_Prec!$W:$W,$L$2)</f>
        <v>10958.82</v>
      </c>
      <c r="R132" s="221"/>
      <c r="S132" s="278">
        <f t="shared" si="90"/>
        <v>-10958.82</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0.29243839762852691</v>
      </c>
      <c r="F134" s="41">
        <f>+SUM(F122:F133)</f>
        <v>426026.29711751756</v>
      </c>
      <c r="G134" s="42" t="s">
        <v>111</v>
      </c>
      <c r="H134" s="40">
        <f>I134/I$107</f>
        <v>0.29243839762852691</v>
      </c>
      <c r="I134" s="41">
        <f>+SUM(I122:I133)</f>
        <v>426026.29711751756</v>
      </c>
      <c r="J134" s="42" t="s">
        <v>111</v>
      </c>
      <c r="K134" s="40" t="e">
        <f>L134/L$107</f>
        <v>#DIV/0!</v>
      </c>
      <c r="L134" s="41">
        <f>SUM(L122:L133)</f>
        <v>0</v>
      </c>
      <c r="M134" s="43"/>
      <c r="N134" s="46">
        <f t="shared" si="89"/>
        <v>-426026.29711751756</v>
      </c>
      <c r="O134" s="42" t="s">
        <v>111</v>
      </c>
      <c r="P134" s="40">
        <f>Q134/Q$107</f>
        <v>0.2656279958557563</v>
      </c>
      <c r="Q134" s="41">
        <f>SUM(Q122:Q133)</f>
        <v>374000.68</v>
      </c>
      <c r="R134" s="43"/>
      <c r="S134" s="293">
        <f t="shared" si="90"/>
        <v>-374000.68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1375.4399999999998</v>
      </c>
      <c r="G137" s="303"/>
      <c r="H137" s="302"/>
      <c r="I137" s="171">
        <f>+SUMPRODUCT(('Budget révisé'!$A$8:$A$500=$A137)*('Budget révisé'!$C$3:$AO$3=I$2),'Budget révisé'!$C$8:$AO$500)</f>
        <v>1375.4399999999998</v>
      </c>
      <c r="J137" s="304"/>
      <c r="K137" s="302"/>
      <c r="L137" s="238">
        <f>SUMIFS(BV_Data_An_Cour!$Q:$Q,BV_Data_An_Cour!$V:$V,$B137,BV_Data_An_Cour!$W:$W,$C137,BV_Data_An_Cour!$X:$X,$L$2)</f>
        <v>0</v>
      </c>
      <c r="M137" s="304"/>
      <c r="N137" s="305">
        <f t="shared" si="89"/>
        <v>-1375.4399999999998</v>
      </c>
      <c r="O137" s="304"/>
      <c r="P137" s="302"/>
      <c r="Q137" s="171">
        <f>SUMIFS(BV_Data_An_Prec!$P:$P,BV_Data_An_Prec!$U:$U,$B137,BV_Data_An_Prec!$V:$V,$C137,BV_Data_An_Prec!$W:$W,$L$2)</f>
        <v>-3700.04</v>
      </c>
      <c r="R137" s="304"/>
      <c r="S137" s="196">
        <f t="shared" si="90"/>
        <v>3700.04</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26712.058010000001</v>
      </c>
      <c r="G138" s="296"/>
      <c r="H138" s="172"/>
      <c r="I138" s="173">
        <f>+SUMPRODUCT(('Budget révisé'!$A$8:$A$500=$A138)*('Budget révisé'!$C$3:$AO$3=I$2),'Budget révisé'!$C$8:$AO$500)</f>
        <v>26712.058010000001</v>
      </c>
      <c r="J138" s="297"/>
      <c r="K138" s="172"/>
      <c r="L138" s="275">
        <f>SUMIFS(BV_Data_An_Cour!$Q:$Q,BV_Data_An_Cour!$V:$V,$B138,BV_Data_An_Cour!$W:$W,$C138,BV_Data_An_Cour!$X:$X,$L$2)</f>
        <v>0</v>
      </c>
      <c r="M138" s="297"/>
      <c r="N138" s="298">
        <f t="shared" si="89"/>
        <v>-26712.058010000001</v>
      </c>
      <c r="O138" s="297"/>
      <c r="P138" s="172"/>
      <c r="Q138" s="174">
        <f>SUMIFS(BV_Data_An_Prec!$P:$P,BV_Data_An_Prec!$U:$U,$B138,BV_Data_An_Prec!$V:$V,$C138,BV_Data_An_Prec!$W:$W,$L$2)</f>
        <v>20190.939999999999</v>
      </c>
      <c r="R138" s="297"/>
      <c r="S138" s="193">
        <f t="shared" si="90"/>
        <v>-20190.939999999999</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3267.5849250000001</v>
      </c>
      <c r="G139" s="296"/>
      <c r="H139" s="172"/>
      <c r="I139" s="173">
        <f>+SUMPRODUCT(('Budget révisé'!$A$8:$A$500=$A139)*('Budget révisé'!$C$3:$AO$3=I$2),'Budget révisé'!$C$8:$AO$500)</f>
        <v>3267.5849250000001</v>
      </c>
      <c r="J139" s="297"/>
      <c r="K139" s="172"/>
      <c r="L139" s="275">
        <f>SUMIFS(BV_Data_An_Cour!$Q:$Q,BV_Data_An_Cour!$V:$V,$B139,BV_Data_An_Cour!$W:$W,$C139,BV_Data_An_Cour!$X:$X,$L$2)</f>
        <v>0</v>
      </c>
      <c r="M139" s="297"/>
      <c r="N139" s="298">
        <f t="shared" si="89"/>
        <v>-3267.5849250000001</v>
      </c>
      <c r="O139" s="297"/>
      <c r="P139" s="172"/>
      <c r="Q139" s="174">
        <f>SUMIFS(BV_Data_An_Prec!$P:$P,BV_Data_An_Prec!$U:$U,$B139,BV_Data_An_Prec!$V:$V,$C139,BV_Data_An_Prec!$W:$W,$L$2)</f>
        <v>2446.77</v>
      </c>
      <c r="R139" s="297"/>
      <c r="S139" s="193">
        <f t="shared" si="90"/>
        <v>-2446.77</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16413.180133333335</v>
      </c>
      <c r="G140" s="303"/>
      <c r="H140" s="302"/>
      <c r="I140" s="171">
        <f>+SUMPRODUCT(('Budget révisé'!$A$8:$A$500=$A140)*('Budget révisé'!$C$3:$AO$3=I$2),'Budget révisé'!$C$8:$AO$500)</f>
        <v>16413.180133333335</v>
      </c>
      <c r="J140" s="304"/>
      <c r="K140" s="302"/>
      <c r="L140" s="238">
        <f>SUMIFS(BV_Data_An_Cour!$Q:$Q,BV_Data_An_Cour!$V:$V,$B140,BV_Data_An_Cour!$W:$W,$C140,BV_Data_An_Cour!$X:$X,$L$2)</f>
        <v>0</v>
      </c>
      <c r="M140" s="304"/>
      <c r="N140" s="305">
        <f t="shared" si="89"/>
        <v>-16413.180133333335</v>
      </c>
      <c r="O140" s="304"/>
      <c r="P140" s="302"/>
      <c r="Q140" s="171">
        <f>SUMIFS(BV_Data_An_Prec!$P:$P,BV_Data_An_Prec!$U:$U,$B140,BV_Data_An_Prec!$V:$V,$C140,BV_Data_An_Prec!$W:$W,$L$2)</f>
        <v>12458.16</v>
      </c>
      <c r="R140" s="304"/>
      <c r="S140" s="196">
        <f t="shared" si="90"/>
        <v>-12458.16</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935.08321523554218</v>
      </c>
      <c r="G141" s="296"/>
      <c r="H141" s="172"/>
      <c r="I141" s="173">
        <f>+SUMPRODUCT(('Budget révisé'!$A$8:$A$500=$A141)*('Budget révisé'!$C$3:$AO$3=I$2),'Budget révisé'!$C$8:$AO$500)</f>
        <v>935.08321523554218</v>
      </c>
      <c r="J141" s="297"/>
      <c r="K141" s="172"/>
      <c r="L141" s="275">
        <f>SUMIFS(BV_Data_An_Cour!$Q:$Q,BV_Data_An_Cour!$V:$V,$B141,BV_Data_An_Cour!$W:$W,$C141,BV_Data_An_Cour!$X:$X,$L$2)</f>
        <v>0</v>
      </c>
      <c r="M141" s="297"/>
      <c r="N141" s="298">
        <f t="shared" si="89"/>
        <v>-935.08321523554218</v>
      </c>
      <c r="O141" s="297"/>
      <c r="P141" s="172"/>
      <c r="Q141" s="174">
        <f>SUMIFS(BV_Data_An_Prec!$P:$P,BV_Data_An_Prec!$U:$U,$B141,BV_Data_An_Prec!$V:$V,$C141,BV_Data_An_Prec!$W:$W,$L$2)</f>
        <v>570.70000000000005</v>
      </c>
      <c r="R141" s="297"/>
      <c r="S141" s="193">
        <f t="shared" si="90"/>
        <v>-570.70000000000005</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496.8786393125651</v>
      </c>
      <c r="G142" s="296"/>
      <c r="H142" s="172"/>
      <c r="I142" s="173">
        <f>+SUMPRODUCT(('Budget révisé'!$A$8:$A$500=$A142)*('Budget révisé'!$C$3:$AO$3=I$2),'Budget révisé'!$C$8:$AO$500)</f>
        <v>496.8786393125651</v>
      </c>
      <c r="J142" s="297"/>
      <c r="K142" s="172"/>
      <c r="L142" s="275">
        <f>SUMIFS(BV_Data_An_Cour!$Q:$Q,BV_Data_An_Cour!$V:$V,$B142,BV_Data_An_Cour!$W:$W,$C142,BV_Data_An_Cour!$X:$X,$L$2)</f>
        <v>0</v>
      </c>
      <c r="M142" s="297"/>
      <c r="N142" s="298">
        <f t="shared" si="89"/>
        <v>-496.8786393125651</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2693.0653200000006</v>
      </c>
      <c r="G143" s="296"/>
      <c r="H143" s="172"/>
      <c r="I143" s="173">
        <f>+SUMPRODUCT(('Budget révisé'!$A$8:$A$500=$A143)*('Budget révisé'!$C$3:$AO$3=I$2),'Budget révisé'!$C$8:$AO$500)</f>
        <v>2693.0653200000006</v>
      </c>
      <c r="J143" s="297"/>
      <c r="K143" s="172"/>
      <c r="L143" s="961">
        <f>SUMIFS(BV_Data_An_Cour!$Q:$Q,BV_Data_An_Cour!$V:$V,$B143,BV_Data_An_Cour!$W:$W,$C143,BV_Data_An_Cour!$X:$X,$L$2)</f>
        <v>0</v>
      </c>
      <c r="M143" s="297"/>
      <c r="N143" s="298">
        <f t="shared" si="89"/>
        <v>-2693.0653200000006</v>
      </c>
      <c r="O143" s="297"/>
      <c r="P143" s="172"/>
      <c r="Q143" s="548">
        <f>SUMIFS(BV_Data_An_Prec!$P:$P,BV_Data_An_Prec!$U:$U,$B143,BV_Data_An_Prec!$V:$V,$C143,BV_Data_An_Prec!$W:$W,$L$2)</f>
        <v>2499.7800000000002</v>
      </c>
      <c r="R143" s="297"/>
      <c r="S143" s="193">
        <f t="shared" si="90"/>
        <v>-2499.7800000000002</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1243.5411725000001</v>
      </c>
      <c r="G144" s="296"/>
      <c r="H144" s="172"/>
      <c r="I144" s="173">
        <f>+SUMPRODUCT(('Budget révisé'!$A$8:$A$500=$A144)*('Budget révisé'!$C$3:$AO$3=I$2),'Budget révisé'!$C$8:$AO$500)</f>
        <v>1243.5411725000001</v>
      </c>
      <c r="J144" s="297"/>
      <c r="K144" s="172"/>
      <c r="L144" s="275">
        <f>SUMIFS(BV_Data_An_Cour!$Q:$Q,BV_Data_An_Cour!$V:$V,$B144,BV_Data_An_Cour!$W:$W,$C144,BV_Data_An_Cour!$X:$X,$L$2)</f>
        <v>0</v>
      </c>
      <c r="M144" s="297"/>
      <c r="N144" s="298">
        <f t="shared" si="89"/>
        <v>-1243.5411725000001</v>
      </c>
      <c r="O144" s="297"/>
      <c r="P144" s="172"/>
      <c r="Q144" s="174">
        <f>SUMIFS(BV_Data_An_Prec!$P:$P,BV_Data_An_Prec!$U:$U,$B144,BV_Data_An_Prec!$V:$V,$C144,BV_Data_An_Prec!$W:$W,$L$2)</f>
        <v>778.25</v>
      </c>
      <c r="R144" s="297"/>
      <c r="S144" s="193">
        <f t="shared" si="90"/>
        <v>-778.25</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663.78292750000003</v>
      </c>
      <c r="G145" s="296"/>
      <c r="H145" s="172"/>
      <c r="I145" s="173">
        <f>+SUMPRODUCT(('Budget révisé'!$A$8:$A$500=$A145)*('Budget révisé'!$C$3:$AO$3=I$2),'Budget révisé'!$C$8:$AO$500)</f>
        <v>663.78292750000003</v>
      </c>
      <c r="J145" s="297"/>
      <c r="K145" s="172"/>
      <c r="L145" s="275">
        <f>SUMIFS(BV_Data_An_Cour!$Q:$Q,BV_Data_An_Cour!$V:$V,$B145,BV_Data_An_Cour!$W:$W,$C145,BV_Data_An_Cour!$X:$X,$L$2)</f>
        <v>0</v>
      </c>
      <c r="M145" s="297"/>
      <c r="N145" s="298">
        <f t="shared" si="89"/>
        <v>-663.78292750000003</v>
      </c>
      <c r="O145" s="297"/>
      <c r="P145" s="172"/>
      <c r="Q145" s="174">
        <f>SUMIFS(BV_Data_An_Prec!$P:$P,BV_Data_An_Prec!$U:$U,$B145,BV_Data_An_Prec!$V:$V,$C145,BV_Data_An_Prec!$W:$W,$L$2)</f>
        <v>913.24</v>
      </c>
      <c r="R145" s="297"/>
      <c r="S145" s="193">
        <f t="shared" si="90"/>
        <v>-913.24</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3201.9635724999989</v>
      </c>
      <c r="G146" s="296"/>
      <c r="H146" s="172"/>
      <c r="I146" s="173">
        <f>+SUMPRODUCT(('Budget révisé'!$A$8:$A$500=$A146)*('Budget révisé'!$C$3:$AO$3=I$2),'Budget révisé'!$C$8:$AO$500)</f>
        <v>3201.9635724999989</v>
      </c>
      <c r="J146" s="297"/>
      <c r="K146" s="172"/>
      <c r="L146" s="275">
        <f>SUMIFS(BV_Data_An_Cour!$Q:$Q,BV_Data_An_Cour!$V:$V,$B146,BV_Data_An_Cour!$W:$W,$C146,BV_Data_An_Cour!$X:$X,$L$2)</f>
        <v>0</v>
      </c>
      <c r="M146" s="297"/>
      <c r="N146" s="298">
        <f t="shared" si="89"/>
        <v>-3201.9635724999989</v>
      </c>
      <c r="O146" s="297"/>
      <c r="P146" s="172"/>
      <c r="Q146" s="174">
        <f>SUMIFS(BV_Data_An_Prec!$P:$P,BV_Data_An_Prec!$U:$U,$B146,BV_Data_An_Prec!$V:$V,$C146,BV_Data_An_Prec!$W:$W,$L$2)</f>
        <v>3048.29</v>
      </c>
      <c r="R146" s="297"/>
      <c r="S146" s="193">
        <f t="shared" si="90"/>
        <v>-3048.29</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4757.1820999999982</v>
      </c>
      <c r="G147" s="296"/>
      <c r="H147" s="172"/>
      <c r="I147" s="173">
        <f>+SUMPRODUCT(('Budget révisé'!$A$8:$A$500=$A147)*('Budget révisé'!$C$3:$AO$3=I$2),'Budget révisé'!$C$8:$AO$500)</f>
        <v>4757.1820999999982</v>
      </c>
      <c r="J147" s="297"/>
      <c r="K147" s="172"/>
      <c r="L147" s="275">
        <f>SUMIFS(BV_Data_An_Cour!$Q:$Q,BV_Data_An_Cour!$V:$V,$B147,BV_Data_An_Cour!$W:$W,$C147,BV_Data_An_Cour!$X:$X,$L$2)</f>
        <v>0</v>
      </c>
      <c r="M147" s="297"/>
      <c r="N147" s="298">
        <f t="shared" si="89"/>
        <v>-4757.1820999999982</v>
      </c>
      <c r="O147" s="297"/>
      <c r="P147" s="172"/>
      <c r="Q147" s="174">
        <f>SUMIFS(BV_Data_An_Prec!$P:$P,BV_Data_An_Prec!$U:$U,$B147,BV_Data_An_Prec!$V:$V,$C147,BV_Data_An_Prec!$W:$W,$L$2)</f>
        <v>716.82</v>
      </c>
      <c r="R147" s="297"/>
      <c r="S147" s="193">
        <f t="shared" si="90"/>
        <v>-716.82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9766.7873747166468</v>
      </c>
      <c r="G148" s="296"/>
      <c r="H148" s="172"/>
      <c r="I148" s="173">
        <f>+SUMPRODUCT(('Budget révisé'!$A$8:$A$500=$A148)*('Budget révisé'!$C$3:$AO$3=I$2),'Budget révisé'!$C$8:$AO$500)</f>
        <v>9766.7873747166468</v>
      </c>
      <c r="J148" s="297"/>
      <c r="K148" s="172"/>
      <c r="L148" s="275">
        <f>AF447*W4</f>
        <v>0</v>
      </c>
      <c r="M148" s="297"/>
      <c r="N148" s="298">
        <f t="shared" ref="N148:N151" si="95">L148-I148</f>
        <v>-9766.7873747166468</v>
      </c>
      <c r="O148" s="297"/>
      <c r="P148" s="172"/>
      <c r="Q148" s="174">
        <f>AL447*W4</f>
        <v>7840.0720000000001</v>
      </c>
      <c r="R148" s="297"/>
      <c r="S148" s="193">
        <f t="shared" ref="S148:S151" si="96">L148-Q148</f>
        <v>-7840.0720000000001</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4.9098163771076515E-2</v>
      </c>
      <c r="F152" s="41">
        <f>+SUM(F135:F151)</f>
        <v>71526.547390098087</v>
      </c>
      <c r="G152" s="42" t="s">
        <v>111</v>
      </c>
      <c r="H152" s="40">
        <f>I152/I$107</f>
        <v>4.9098163771076515E-2</v>
      </c>
      <c r="I152" s="41">
        <f>+SUM(I135:I151)</f>
        <v>71526.547390098087</v>
      </c>
      <c r="J152" s="42" t="s">
        <v>111</v>
      </c>
      <c r="K152" s="40" t="e">
        <f>L152/L$107</f>
        <v>#DIV/0!</v>
      </c>
      <c r="L152" s="41">
        <f>+SUM(L135:L151)</f>
        <v>0</v>
      </c>
      <c r="M152" s="44"/>
      <c r="N152" s="41">
        <f t="shared" si="89"/>
        <v>-71526.547390098087</v>
      </c>
      <c r="O152" s="42" t="s">
        <v>111</v>
      </c>
      <c r="P152" s="40">
        <f>Q152/Q$107</f>
        <v>3.3922893361462772E-2</v>
      </c>
      <c r="Q152" s="41">
        <f>+SUM(Q135:Q151)</f>
        <v>47762.981999999996</v>
      </c>
      <c r="R152" s="44"/>
      <c r="S152" s="310">
        <f t="shared" si="90"/>
        <v>-47762.981999999996</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0.73915039284424189</v>
      </c>
      <c r="F154" s="41">
        <f>F121+F134+F152</f>
        <v>1076799.4470972065</v>
      </c>
      <c r="G154" s="42" t="s">
        <v>111</v>
      </c>
      <c r="H154" s="40">
        <f>I154/I$107</f>
        <v>0.73915039284424189</v>
      </c>
      <c r="I154" s="41">
        <f>I121+I134+I152</f>
        <v>1076799.4470972065</v>
      </c>
      <c r="J154" s="42" t="s">
        <v>111</v>
      </c>
      <c r="K154" s="40" t="e">
        <f>L154/L$107</f>
        <v>#DIV/0!</v>
      </c>
      <c r="L154" s="41">
        <f>L121+L134+L152</f>
        <v>0</v>
      </c>
      <c r="M154" s="44"/>
      <c r="N154" s="46">
        <f>L154-I154</f>
        <v>-1076799.4470972065</v>
      </c>
      <c r="O154" s="42" t="s">
        <v>111</v>
      </c>
      <c r="P154" s="40">
        <f>Q154/Q$107</f>
        <v>0.69846678663181683</v>
      </c>
      <c r="Q154" s="41">
        <f>Q121+Q134+Q152</f>
        <v>983431.93199999991</v>
      </c>
      <c r="R154" s="44"/>
      <c r="S154" s="293">
        <f>L154-Q154</f>
        <v>-983431.93199999991</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157716.3713592233</v>
      </c>
      <c r="G158" s="296"/>
      <c r="H158" s="172"/>
      <c r="I158" s="173">
        <f>+SUMPRODUCT(('Budget révisé'!$A$8:$A$500=$A158)*('Budget révisé'!$C$3:$AO$3=I$2),'Budget révisé'!$C$8:$AO$500)</f>
        <v>157716.3713592233</v>
      </c>
      <c r="J158" s="297"/>
      <c r="K158" s="227"/>
      <c r="L158" s="961">
        <f>349*J96</f>
        <v>0</v>
      </c>
      <c r="M158" s="297"/>
      <c r="N158" s="298">
        <f t="shared" ref="N158" si="100">L158-I158</f>
        <v>-157716.3713592233</v>
      </c>
      <c r="O158" s="297"/>
      <c r="P158" s="172"/>
      <c r="Q158" s="174">
        <f>349*O96</f>
        <v>136808</v>
      </c>
      <c r="R158" s="297"/>
      <c r="S158" s="193">
        <f t="shared" ref="S158" si="101">L158-Q158</f>
        <v>-136808</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157716.3713592233</v>
      </c>
      <c r="G162" s="42"/>
      <c r="H162" s="40"/>
      <c r="I162" s="41">
        <f>+SUM(I155:I161)</f>
        <v>157716.3713592233</v>
      </c>
      <c r="J162" s="42"/>
      <c r="K162" s="40"/>
      <c r="L162" s="41">
        <f>+SUM(L155:L161)</f>
        <v>0</v>
      </c>
      <c r="M162" s="44"/>
      <c r="N162" s="41">
        <f>SUM(N157:N157)</f>
        <v>0</v>
      </c>
      <c r="O162" s="42"/>
      <c r="P162" s="40"/>
      <c r="Q162" s="41">
        <f>+SUM(Q155:Q161)</f>
        <v>136808</v>
      </c>
      <c r="R162" s="44"/>
      <c r="S162" s="310">
        <f>+SUM(S155:S161)</f>
        <v>-136808</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537723.89821720216</v>
      </c>
      <c r="G164" s="338"/>
      <c r="H164" s="336"/>
      <c r="I164" s="337">
        <f>I107-I154+I162</f>
        <v>537723.89821720216</v>
      </c>
      <c r="J164" s="339"/>
      <c r="K164" s="340"/>
      <c r="L164" s="337">
        <f>L107-L154+L162</f>
        <v>0</v>
      </c>
      <c r="M164" s="339"/>
      <c r="N164" s="337">
        <f>L164-I164</f>
        <v>-537723.89821720216</v>
      </c>
      <c r="O164" s="339"/>
      <c r="P164" s="340"/>
      <c r="Q164" s="337">
        <f>Q107-Q154+Q162</f>
        <v>561362.74799999979</v>
      </c>
      <c r="R164" s="339"/>
      <c r="S164" s="341">
        <f>L164-Q164</f>
        <v>-561362.74799999979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Novembre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5455.3898664859944</v>
      </c>
      <c r="E171" s="191">
        <f>+SUMPRODUCT(('Budget original'!$A$8:$A$500=$A171)*('Budget original'!$C$3:$AO$3=E$2),'Budget original'!$C$8:$AO$500)</f>
        <v>1352936.6868885267</v>
      </c>
      <c r="F171" s="191">
        <f>+SUMPRODUCT(('Budget original'!$A$8:$A$500=$A171)*('Budget original'!$C$3:$AO$3=F$2),'Budget original'!$C$8:$AO$500)</f>
        <v>1016055.4518532834</v>
      </c>
      <c r="G171" s="342">
        <f>+SUMPRODUCT(('Budget révisé'!$A$8:$A$500=$A171)*('Budget révisé'!$C$3:$AO$3=G$2),'Budget révisé'!$C$8:$AO$500)</f>
        <v>5455.3898664859944</v>
      </c>
      <c r="H171" s="191">
        <f>+SUMPRODUCT(('Budget révisé'!$A$8:$A$500=$A171)*('Budget révisé'!$C$3:$AO$3=H$2),'Budget révisé'!$C$8:$AO$500)</f>
        <v>1352936.6868885267</v>
      </c>
      <c r="I171" s="191">
        <f>+SUMPRODUCT(('Budget révisé'!$A$8:$A$500=$A171)*('Budget révisé'!$C$3:$AO$3=I$2),'Budget révisé'!$C$8:$AO$500)</f>
        <v>1016055.4518532834</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-1016055.4518532834</v>
      </c>
      <c r="O171" s="319">
        <f>-SUMIFS(BV_Data_An_Prec!$P:$P,BV_Data_An_Prec!$U:$U,$B171,BV_Data_An_Prec!$V:$V,$C171,BV_Data_An_Prec!$W:$W,O$2)</f>
        <v>5177</v>
      </c>
      <c r="P171" s="173">
        <f>-SUMIFS(BV_Data_An_Prec!$P:$P,BV_Data_An_Prec!$X:$X,"Oui",BV_Data_An_Prec!$U:$U,$B171,BV_Data_An_Prec!$V:$V,$C171)</f>
        <v>1176493.29</v>
      </c>
      <c r="Q171" s="174">
        <f>-SUMIFS(BV_Data_An_Prec!$P:$P,BV_Data_An_Prec!$U:$U,$B171,BV_Data_An_Prec!$V:$V,$C171,BV_Data_An_Prec!$W:$W,$L$2)</f>
        <v>903099.63</v>
      </c>
      <c r="R171" s="318">
        <f>IF(O171=0,0,J171/O171)</f>
        <v>0</v>
      </c>
      <c r="S171" s="193">
        <f>L171-Q171</f>
        <v>-903099.63</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v>
      </c>
      <c r="G172" s="297"/>
      <c r="H172" s="343"/>
      <c r="I172" s="344">
        <f>I171/H171</f>
        <v>0.751</v>
      </c>
      <c r="J172" s="319"/>
      <c r="K172" s="172"/>
      <c r="L172" s="344">
        <f>IF(L171=0,0,L171/K171)</f>
        <v>0</v>
      </c>
      <c r="M172" s="318"/>
      <c r="N172" s="298"/>
      <c r="O172" s="319"/>
      <c r="P172" s="172"/>
      <c r="Q172" s="344">
        <f>IF(Q171=0,0,Q171/P171)</f>
        <v>0.7676198731231183</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v>
      </c>
      <c r="F173" s="353"/>
      <c r="G173" s="304"/>
      <c r="H173" s="352">
        <f t="shared" ref="H173" si="106">IFERROR(H171/G171,0)</f>
        <v>248</v>
      </c>
      <c r="I173" s="353"/>
      <c r="J173" s="333"/>
      <c r="K173" s="567">
        <f t="shared" ref="K173" si="107">IFERROR(K171/J171,0)</f>
        <v>0</v>
      </c>
      <c r="L173" s="353"/>
      <c r="M173" s="355"/>
      <c r="N173" s="305"/>
      <c r="O173" s="333"/>
      <c r="P173" s="567">
        <f t="shared" ref="P173" si="108">IFERROR(P171/O171,0)</f>
        <v>227.25387096774193</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3438.0124982519656</v>
      </c>
      <c r="E174" s="191">
        <f>+SUMPRODUCT(('Budget original'!$A$8:$A$500=$A174)*('Budget original'!$C$3:$AO$3=E$2),'Budget original'!$C$8:$AO$500)</f>
        <v>681062.11994840915</v>
      </c>
      <c r="F174" s="191">
        <f>+SUMPRODUCT(('Budget original'!$A$8:$A$500=$A174)*('Budget original'!$C$3:$AO$3=F$2),'Budget original'!$C$8:$AO$500)</f>
        <v>479774.96578702301</v>
      </c>
      <c r="G174" s="348">
        <f>+SUMPRODUCT(('Budget révisé'!$A$8:$A$500=$A174)*('Budget révisé'!$C$3:$AO$3=G$2),'Budget révisé'!$C$8:$AO$500)</f>
        <v>3438.0124982519656</v>
      </c>
      <c r="H174" s="191">
        <f>+SUMPRODUCT(('Budget révisé'!$A$8:$A$500=$A174)*('Budget révisé'!$C$3:$AO$3=H$2),'Budget révisé'!$C$8:$AO$500)</f>
        <v>681062.11994840915</v>
      </c>
      <c r="I174" s="191">
        <f>+SUMPRODUCT(('Budget révisé'!$A$8:$A$500=$A174)*('Budget révisé'!$C$3:$AO$3=I$2),'Budget révisé'!$C$8:$AO$500)</f>
        <v>479774.96578702301</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-479774.96578702301</v>
      </c>
      <c r="O174" s="348">
        <f>-SUMIFS(BV_Data_An_Prec!$P:$P,BV_Data_An_Prec!$U:$U,$B174,BV_Data_An_Prec!$V:$V,$C174,BV_Data_An_Prec!$W:$W,O$2)</f>
        <v>3165</v>
      </c>
      <c r="P174" s="180">
        <f>-SUMIFS(BV_Data_An_Prec!$P:$P,BV_Data_An_Prec!$X:$X,"Oui",BV_Data_An_Prec!$U:$U,$B174,BV_Data_An_Prec!$V:$V,$C174)</f>
        <v>593326.56000000006</v>
      </c>
      <c r="Q174" s="174">
        <f>-SUMIFS(BV_Data_An_Prec!$P:$P,BV_Data_An_Prec!$U:$U,$B174,BV_Data_An_Prec!$V:$V,$C174,BV_Data_An_Prec!$W:$W,$L$2)</f>
        <v>424277.88000000006</v>
      </c>
      <c r="R174" s="318">
        <f>IF(O174=0,0,J174/O174)</f>
        <v>0</v>
      </c>
      <c r="S174" s="193">
        <f>L174-Q174</f>
        <v>-424277.88000000006</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0.70445110913431253</v>
      </c>
      <c r="G175" s="297"/>
      <c r="H175" s="172"/>
      <c r="I175" s="344">
        <f>I174/H174</f>
        <v>0.70445110913431253</v>
      </c>
      <c r="J175" s="297"/>
      <c r="K175" s="172"/>
      <c r="L175" s="344">
        <f>IF(L174=0,0,L174/K174)</f>
        <v>0</v>
      </c>
      <c r="M175" s="356"/>
      <c r="N175" s="326"/>
      <c r="O175" s="297"/>
      <c r="P175" s="172"/>
      <c r="Q175" s="344">
        <f>IF(Q174=0,0,Q174/P174)</f>
        <v>0.71508324184914296</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3264.6573775901065</v>
      </c>
      <c r="E177" s="191">
        <f>+SUMPRODUCT(('Budget original'!$A$8:$A$500=$A177)*('Budget original'!$C$3:$AO$3=E$2),'Budget original'!$C$8:$AO$500)</f>
        <v>703163.97001198248</v>
      </c>
      <c r="F177" s="191">
        <f>+SUMPRODUCT(('Budget original'!$A$8:$A$500=$A177)*('Budget original'!$C$3:$AO$3=F$2),'Budget original'!$C$8:$AO$500)</f>
        <v>518753.64089027571</v>
      </c>
      <c r="G177" s="297">
        <f>+SUMPRODUCT(('Budget révisé'!$A$8:$A$500=$A177)*('Budget révisé'!$C$3:$AO$3=G$2),'Budget révisé'!$C$8:$AO$500)</f>
        <v>3264.6573775901065</v>
      </c>
      <c r="H177" s="191">
        <f>+SUMPRODUCT(('Budget révisé'!$A$8:$A$500=$A177)*('Budget révisé'!$C$3:$AO$3=H$2),'Budget révisé'!$C$8:$AO$500)</f>
        <v>703163.97001198248</v>
      </c>
      <c r="I177" s="191">
        <f>+SUMPRODUCT(('Budget révisé'!$A$8:$A$500=$A177)*('Budget révisé'!$C$3:$AO$3=I$2),'Budget révisé'!$C$8:$AO$500)</f>
        <v>518753.64089027571</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-518753.64089027571</v>
      </c>
      <c r="O177" s="319">
        <f>-SUMIFS(BV_Data_An_Prec!$P:$P,BV_Data_An_Prec!$U:$U,$B177,BV_Data_An_Prec!$V:$V,$C177,BV_Data_An_Prec!$W:$W,O$2)</f>
        <v>2986</v>
      </c>
      <c r="P177" s="180">
        <f>-SUMIFS(BV_Data_An_Prec!$P:$P,BV_Data_An_Prec!$X:$X,"Oui",BV_Data_An_Prec!$U:$U,$B177,BV_Data_An_Prec!$V:$V,$C177)</f>
        <v>646944.59</v>
      </c>
      <c r="Q177" s="174">
        <f>-SUMIFS(BV_Data_An_Prec!$P:$P,BV_Data_An_Prec!$U:$U,$B177,BV_Data_An_Prec!$V:$V,$C177,BV_Data_An_Prec!$W:$W,$L$2)</f>
        <v>483752.64999999997</v>
      </c>
      <c r="R177" s="318">
        <f>IF(O177=0,0,J177/O177)</f>
        <v>0</v>
      </c>
      <c r="S177" s="193">
        <f>L177-Q177</f>
        <v>-483752.64999999997</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v>
      </c>
      <c r="M178" s="318"/>
      <c r="N178" s="298">
        <f t="shared" si="109"/>
        <v>-0.73774206730392589</v>
      </c>
      <c r="O178" s="319"/>
      <c r="P178" s="343"/>
      <c r="Q178" s="344">
        <f>IF(Q177=0,0,Q177/P177)</f>
        <v>0.74774974159688079</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4677.4022326564627</v>
      </c>
      <c r="F180" s="191">
        <f>+SUMPRODUCT(('Budget original'!$A$8:$A$500=$A180)*('Budget original'!$C$3:$AO$3=F$2),'Budget original'!$C$8:$AO$500)</f>
        <v>1768.7622915009038</v>
      </c>
      <c r="G180" s="362">
        <f>+SUMPRODUCT(('Budget révisé'!$A$8:$A$500=$A180)*('Budget révisé'!$C$3:$AO$3=G$2),'Budget révisé'!$C$8:$AO$500)</f>
        <v>0</v>
      </c>
      <c r="H180" s="191">
        <f>+SUMPRODUCT(('Budget révisé'!$A$8:$A$500=$A180)*('Budget révisé'!$C$3:$AO$3=H$2),'Budget révisé'!$C$8:$AO$500)</f>
        <v>4677.4022326564627</v>
      </c>
      <c r="I180" s="191">
        <f>+SUMPRODUCT(('Budget révisé'!$A$8:$A$500=$A180)*('Budget révisé'!$C$3:$AO$3=I$2),'Budget révisé'!$C$8:$AO$500)</f>
        <v>1768.7622915009038</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-1768.7622915009038</v>
      </c>
      <c r="O180" s="348">
        <f>-SUMIFS(BV_Data_An_Prec!$P:$P,BV_Data_An_Prec!$U:$U,$B180,BV_Data_An_Prec!$V:$V,$C180,BV_Data_An_Prec!$W:$W,O$2)</f>
        <v>0</v>
      </c>
      <c r="P180" s="180">
        <f>-SUMIFS(BV_Data_An_Prec!$P:$P,BV_Data_An_Prec!$X:$X,"Oui",BV_Data_An_Prec!$U:$U,$B180,BV_Data_An_Prec!$V:$V,$C180)</f>
        <v>4375.1099999999997</v>
      </c>
      <c r="Q180" s="175">
        <f>-SUMIFS(BV_Data_An_Prec!$P:$P,BV_Data_An_Prec!$U:$U,$B180,BV_Data_An_Prec!$V:$V,$C180,BV_Data_An_Prec!$W:$W,$L$2)</f>
        <v>1568.7099999999996</v>
      </c>
      <c r="R180" s="318">
        <f>IF(O180=0,0,J180/O180)</f>
        <v>0</v>
      </c>
      <c r="S180" s="195">
        <f>L180-Q180</f>
        <v>-1568.7099999999996</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0.35855327066062331</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-42342.78704315878</v>
      </c>
      <c r="G183" s="297"/>
      <c r="H183" s="191"/>
      <c r="I183" s="191">
        <f>+SUMPRODUCT(('Budget révisé'!$A$8:$A$500=$A183)*('Budget révisé'!$C$3:$AO$3=I$2),'Budget révisé'!$C$8:$AO$500)</f>
        <v>-42342.78704315878</v>
      </c>
      <c r="J183" s="319"/>
      <c r="K183" s="191"/>
      <c r="L183" s="191">
        <f>-SUMIFS(BV_Data_An_Cour!$Q:$Q,BV_Data_An_Cour!$V:$V,$B183,BV_Data_An_Cour!$W:$W,$C183,BV_Data_An_Cour!$X:$X,$L$2)</f>
        <v>0</v>
      </c>
      <c r="M183" s="365"/>
      <c r="N183" s="298">
        <f t="shared" ref="N183:N184" si="110">L183-I183</f>
        <v>42342.78704315878</v>
      </c>
      <c r="O183" s="319"/>
      <c r="P183" s="191"/>
      <c r="Q183" s="174">
        <f>-SUMIFS(BV_Data_An_Prec!$P:$P,BV_Data_An_Prec!$U:$U,$B183,BV_Data_An_Prec!$V:$V,$C183,BV_Data_An_Prec!$W:$W,$L$2)</f>
        <v>-35403.160000000003</v>
      </c>
      <c r="R183" s="203"/>
      <c r="S183" s="193">
        <f t="shared" ref="S183:S184" si="111">L183-Q183</f>
        <v>35403.160000000003</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2741840.1790815745</v>
      </c>
      <c r="F184" s="59">
        <f t="shared" si="112"/>
        <v>1974010.033778924</v>
      </c>
      <c r="G184" s="60">
        <f t="shared" ref="G184:L184" si="113">G171+G174+G177+G180+G183</f>
        <v>12158.059742328067</v>
      </c>
      <c r="H184" s="58">
        <f t="shared" si="113"/>
        <v>2741840.1790815745</v>
      </c>
      <c r="I184" s="59">
        <f t="shared" si="113"/>
        <v>1974010.033778924</v>
      </c>
      <c r="J184" s="60">
        <f t="shared" si="113"/>
        <v>0</v>
      </c>
      <c r="K184" s="58">
        <f t="shared" si="113"/>
        <v>0</v>
      </c>
      <c r="L184" s="59">
        <f t="shared" si="113"/>
        <v>0</v>
      </c>
      <c r="M184" s="61">
        <f>(K184-H184)/H184</f>
        <v>-1</v>
      </c>
      <c r="N184" s="59">
        <f t="shared" si="110"/>
        <v>-1974010.033778924</v>
      </c>
      <c r="O184" s="60">
        <f t="shared" ref="O184:Q184" si="114">O171+O174+O177+O180+O183</f>
        <v>11328</v>
      </c>
      <c r="P184" s="58">
        <f t="shared" si="114"/>
        <v>2421139.5499999998</v>
      </c>
      <c r="Q184" s="59">
        <f t="shared" si="114"/>
        <v>1777295.71</v>
      </c>
      <c r="R184" s="375">
        <f>IF(O184=0,0,J184/O184)</f>
        <v>0</v>
      </c>
      <c r="S184" s="376">
        <f t="shared" si="111"/>
        <v>-1777295.71</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0.71995809560284141</v>
      </c>
      <c r="G185" s="64"/>
      <c r="H185" s="65">
        <f>IF(G184=0,0,H184/G184)</f>
        <v>225.51626140936841</v>
      </c>
      <c r="I185" s="326">
        <f>I184/H184</f>
        <v>0.71995809560284141</v>
      </c>
      <c r="J185" s="64"/>
      <c r="K185" s="65">
        <f>IF(J184=0,0,K184/J184)</f>
        <v>0</v>
      </c>
      <c r="L185" s="326">
        <f>IF(L184=0,0,L184/K184)</f>
        <v>0</v>
      </c>
      <c r="M185" s="64"/>
      <c r="N185" s="63">
        <f>N184/I184</f>
        <v>-1</v>
      </c>
      <c r="O185" s="64"/>
      <c r="P185" s="65">
        <f>IF(O184=0,0,P184/O184)</f>
        <v>213.73053937146892</v>
      </c>
      <c r="Q185" s="326">
        <f>IF(Q184=0,0,Q184/P184)</f>
        <v>0.73407404790029562</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272109.44397199783</v>
      </c>
      <c r="F187" s="222">
        <f>+SUMPRODUCT(('Budget original'!$A$8:$A$500=$A187)*('Budget original'!$C$3:$AO$3=F$2),'Budget original'!$C$8:$AO$500)</f>
        <v>59626.170758040069</v>
      </c>
      <c r="G187" s="224"/>
      <c r="H187" s="222">
        <f>+SUMPRODUCT(('Budget révisé'!$A$8:$A$500=$A187)*('Budget révisé'!$C$3:$AO$3=H$2),'Budget révisé'!$C$8:$AO$500)</f>
        <v>272109.44397199783</v>
      </c>
      <c r="I187" s="222">
        <f>+SUMPRODUCT(('Budget révisé'!$A$8:$A$500=$A187)*('Budget révisé'!$C$3:$AO$3=I$2),'Budget révisé'!$C$8:$AO$500)</f>
        <v>59626.170758040069</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-59626.170758040069</v>
      </c>
      <c r="O187" s="224"/>
      <c r="P187" s="225">
        <f>-SUMIFS(BV_Data_An_Prec!$P:$P,BV_Data_An_Prec!$X:$X,"Oui",BV_Data_An_Prec!$U:$U,$B187,BV_Data_An_Prec!$V:$V,$C187)</f>
        <v>252746.57</v>
      </c>
      <c r="Q187" s="275">
        <f>-SUMIFS(BV_Data_An_Prec!$P:$P,BV_Data_An_Prec!$U:$U,$B187,BV_Data_An_Prec!$V:$V,$C187,BV_Data_An_Prec!$W:$W,$L$2)</f>
        <v>55603.909999999974</v>
      </c>
      <c r="R187" s="380">
        <f>IF(O187=0,0,J187/O187)</f>
        <v>0</v>
      </c>
      <c r="S187" s="278">
        <f>L187-Q187</f>
        <v>-55603.909999999974</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0.21912569401367807</v>
      </c>
      <c r="G188" s="221"/>
      <c r="H188" s="228"/>
      <c r="I188" s="229">
        <f>IFERROR(I187/H187,0)</f>
        <v>0.21912569401367807</v>
      </c>
      <c r="J188" s="230"/>
      <c r="K188" s="231"/>
      <c r="L188" s="229">
        <f>IF(L187=0,0,L187/K187)</f>
        <v>0</v>
      </c>
      <c r="M188" s="230"/>
      <c r="N188" s="232"/>
      <c r="O188" s="230"/>
      <c r="P188" s="231"/>
      <c r="Q188" s="229">
        <f>IF(Q187=0,0,Q187/P187)</f>
        <v>0.2199986729790239</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3013949.6230535721</v>
      </c>
      <c r="F193" s="28">
        <f t="shared" si="115"/>
        <v>2033636.2045369642</v>
      </c>
      <c r="G193" s="29"/>
      <c r="H193" s="26">
        <f t="shared" ref="H193:I193" si="116">H184+H187+H190</f>
        <v>3013949.6230535721</v>
      </c>
      <c r="I193" s="28">
        <f t="shared" si="116"/>
        <v>2033636.2045369642</v>
      </c>
      <c r="J193" s="29"/>
      <c r="K193" s="26">
        <f>K184+K187+K190</f>
        <v>0</v>
      </c>
      <c r="L193" s="28">
        <f t="shared" ref="L193" si="117">L184+L187+L190</f>
        <v>0</v>
      </c>
      <c r="M193" s="70" t="e">
        <f>L194-I194</f>
        <v>#DIV/0!</v>
      </c>
      <c r="N193" s="28">
        <f>L193-I193</f>
        <v>-2033636.2045369642</v>
      </c>
      <c r="O193" s="29"/>
      <c r="P193" s="26">
        <f>P184+P187+P190</f>
        <v>2673886.1199999996</v>
      </c>
      <c r="Q193" s="28">
        <f t="shared" ref="Q193" si="118">Q184+Q187+Q190</f>
        <v>1832899.6199999999</v>
      </c>
      <c r="R193" s="70" t="e">
        <f>L194-Q194</f>
        <v>#DIV/0!</v>
      </c>
      <c r="S193" s="357">
        <f>L193-Q193</f>
        <v>-1832899.6199999999</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0.674741272708</v>
      </c>
      <c r="G194" s="31"/>
      <c r="H194" s="359"/>
      <c r="I194" s="34">
        <f>I193/H193</f>
        <v>0.674741272708</v>
      </c>
      <c r="J194" s="31"/>
      <c r="K194" s="359"/>
      <c r="L194" s="34" t="e">
        <f>L193/K193</f>
        <v>#DIV/0!</v>
      </c>
      <c r="M194" s="33"/>
      <c r="N194" s="34">
        <f>N193/I193</f>
        <v>-1</v>
      </c>
      <c r="O194" s="31"/>
      <c r="P194" s="359"/>
      <c r="Q194" s="34">
        <f>Q193/P193</f>
        <v>0.68548155670892974</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125842.19137931037</v>
      </c>
      <c r="G197" s="297"/>
      <c r="H197" s="172"/>
      <c r="I197" s="173">
        <f>+SUMPRODUCT(('Budget révisé'!$A$8:$A$500=$A197)*('Budget révisé'!$C$3:$AO$3=I$2),'Budget révisé'!$C$8:$AO$500)</f>
        <v>125842.19137931037</v>
      </c>
      <c r="J197" s="297"/>
      <c r="K197" s="172"/>
      <c r="L197" s="174">
        <f>SUMIFS(BV_Data_An_Cour!$Q:$Q,BV_Data_An_Cour!$V:$V,$B197,BV_Data_An_Cour!$W:$W,$C197,BV_Data_An_Cour!$X:$X,$L$2)</f>
        <v>0</v>
      </c>
      <c r="M197" s="297"/>
      <c r="N197" s="298">
        <f t="shared" ref="N197:N228" si="119">L197-I197</f>
        <v>-125842.19137931037</v>
      </c>
      <c r="O197" s="297"/>
      <c r="P197" s="172"/>
      <c r="Q197" s="174">
        <f>SUMIFS(BV_Data_An_Prec!$P:$P,BV_Data_An_Prec!$U:$U,$B197,BV_Data_An_Prec!$V:$V,$C197,BV_Data_An_Prec!$W:$W,$L$2)</f>
        <v>129906.64</v>
      </c>
      <c r="R197" s="297"/>
      <c r="S197" s="393">
        <f>L197-Q197</f>
        <v>-129906.64</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106331.74437696172</v>
      </c>
      <c r="G198" s="296"/>
      <c r="H198" s="172"/>
      <c r="I198" s="171">
        <f>+SUMPRODUCT(('Budget révisé'!$A$8:$A$500=$A198)*('Budget révisé'!$C$3:$AO$3=I$2),'Budget révisé'!$C$8:$AO$500)</f>
        <v>106331.74437696172</v>
      </c>
      <c r="J198" s="297"/>
      <c r="K198" s="172"/>
      <c r="L198" s="174">
        <f>SUMIFS(BV_Data_An_Cour!$Q:$Q,BV_Data_An_Cour!$V:$V,$B198,BV_Data_An_Cour!$W:$W,$C198,BV_Data_An_Cour!$X:$X,$L$2)</f>
        <v>0</v>
      </c>
      <c r="M198" s="297"/>
      <c r="N198" s="298">
        <f t="shared" si="119"/>
        <v>-106331.74437696172</v>
      </c>
      <c r="O198" s="297"/>
      <c r="P198" s="172"/>
      <c r="Q198" s="174">
        <f>SUMIFS(BV_Data_An_Prec!$P:$P,BV_Data_An_Prec!$U:$U,$B198,BV_Data_An_Prec!$V:$V,$C198,BV_Data_An_Prec!$W:$W,$L$2)</f>
        <v>95453.61</v>
      </c>
      <c r="R198" s="297"/>
      <c r="S198" s="193">
        <f t="shared" ref="S198:S228" si="120">L198-Q198</f>
        <v>-95453.61</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160008.53376493487</v>
      </c>
      <c r="G199" s="387"/>
      <c r="H199" s="346"/>
      <c r="I199" s="173">
        <f>+SUMPRODUCT(('Budget révisé'!$A$8:$A$500=$A199)*('Budget révisé'!$C$3:$AO$3=I$2),'Budget révisé'!$C$8:$AO$500)</f>
        <v>160008.53376493487</v>
      </c>
      <c r="J199" s="362"/>
      <c r="K199" s="346"/>
      <c r="L199" s="175">
        <f>SUMIFS(BV_Data_An_Cour!$Q:$Q,BV_Data_An_Cour!$V:$V,$B199,BV_Data_An_Cour!$W:$W,$C199,BV_Data_An_Cour!$X:$X,$L$2)</f>
        <v>0</v>
      </c>
      <c r="M199" s="362"/>
      <c r="N199" s="350">
        <f t="shared" si="119"/>
        <v>-160008.53376493487</v>
      </c>
      <c r="O199" s="362"/>
      <c r="P199" s="346"/>
      <c r="Q199" s="175">
        <f>SUMIFS(BV_Data_An_Prec!$P:$P,BV_Data_An_Prec!$U:$U,$B199,BV_Data_An_Prec!$V:$V,$C199,BV_Data_An_Prec!$W:$W,$L$2)</f>
        <v>130431.92</v>
      </c>
      <c r="R199" s="362"/>
      <c r="S199" s="195">
        <f t="shared" si="120"/>
        <v>-130431.92</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327476.84815010033</v>
      </c>
      <c r="G200" s="296"/>
      <c r="H200" s="172"/>
      <c r="I200" s="173">
        <f>+SUMPRODUCT(('Budget révisé'!$A$8:$A$500=$A200)*('Budget révisé'!$C$3:$AO$3=I$2),'Budget révisé'!$C$8:$AO$500)</f>
        <v>327476.84815010033</v>
      </c>
      <c r="J200" s="297"/>
      <c r="K200" s="172"/>
      <c r="L200" s="174">
        <f>SUMIFS(BV_Data_An_Cour!$Q:$Q,BV_Data_An_Cour!$V:$V,$B200,BV_Data_An_Cour!$W:$W,$C200,BV_Data_An_Cour!$X:$X,$L$2)</f>
        <v>0</v>
      </c>
      <c r="M200" s="297"/>
      <c r="N200" s="298">
        <f t="shared" si="119"/>
        <v>-327476.84815010033</v>
      </c>
      <c r="O200" s="297"/>
      <c r="P200" s="172"/>
      <c r="Q200" s="174">
        <f>SUMIFS(BV_Data_An_Prec!$P:$P,BV_Data_An_Prec!$U:$U,$B200,BV_Data_An_Prec!$V:$V,$C200,BV_Data_An_Prec!$W:$W,$L$2)</f>
        <v>259732.32</v>
      </c>
      <c r="R200" s="297"/>
      <c r="S200" s="193">
        <f t="shared" si="120"/>
        <v>-259732.32</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180187.58303061916</v>
      </c>
      <c r="G204" s="296"/>
      <c r="H204" s="172"/>
      <c r="I204" s="173">
        <f>+SUMPRODUCT(('Budget révisé'!$A$8:$A$500=$A204)*('Budget révisé'!$C$3:$AO$3=I$2),'Budget révisé'!$C$8:$AO$500)</f>
        <v>180187.58303061916</v>
      </c>
      <c r="J204" s="297"/>
      <c r="K204" s="172"/>
      <c r="L204" s="174">
        <f>SUMIFS(BV_Data_An_Cour!$Q:$Q,BV_Data_An_Cour!$V:$V,$B204,BV_Data_An_Cour!$W:$W,$C204,BV_Data_An_Cour!$X:$X,$L$2)</f>
        <v>0</v>
      </c>
      <c r="M204" s="297"/>
      <c r="N204" s="298">
        <f t="shared" si="121"/>
        <v>-180187.58303061916</v>
      </c>
      <c r="O204" s="297"/>
      <c r="P204" s="172"/>
      <c r="Q204" s="174">
        <f>SUMIFS(BV_Data_An_Prec!$P:$P,BV_Data_An_Prec!$U:$U,$B204,BV_Data_An_Prec!$V:$V,$C204,BV_Data_An_Prec!$W:$W,$L$2)</f>
        <v>161421.5</v>
      </c>
      <c r="R204" s="297"/>
      <c r="S204" s="193">
        <f t="shared" si="122"/>
        <v>-161421.5</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161376.45086350932</v>
      </c>
      <c r="G205" s="387"/>
      <c r="H205" s="346"/>
      <c r="I205" s="423">
        <f>+SUMPRODUCT(('Budget révisé'!$A$8:$A$500=$A205)*('Budget révisé'!$C$3:$AO$3=I$2),'Budget révisé'!$C$8:$AO$500)</f>
        <v>161376.45086350932</v>
      </c>
      <c r="J205" s="362"/>
      <c r="K205" s="346"/>
      <c r="L205" s="175">
        <f>SUMIFS(BV_Data_An_Cour!$Q:$Q,BV_Data_An_Cour!$V:$V,$B205,BV_Data_An_Cour!$W:$W,$C205,BV_Data_An_Cour!$X:$X,$L$2)</f>
        <v>0</v>
      </c>
      <c r="M205" s="362"/>
      <c r="N205" s="350">
        <f t="shared" si="119"/>
        <v>-161376.45086350932</v>
      </c>
      <c r="O205" s="362"/>
      <c r="P205" s="346"/>
      <c r="Q205" s="175">
        <f>SUMIFS(BV_Data_An_Prec!$P:$P,BV_Data_An_Prec!$U:$U,$B205,BV_Data_An_Prec!$V:$V,$C205,BV_Data_An_Prec!$W:$W,$L$2)</f>
        <v>161071.54</v>
      </c>
      <c r="R205" s="362"/>
      <c r="S205" s="195">
        <f t="shared" si="120"/>
        <v>-161071.54</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128151.8874504339</v>
      </c>
      <c r="G206" s="296"/>
      <c r="H206" s="172"/>
      <c r="I206" s="173">
        <f>+SUMPRODUCT(('Budget révisé'!$A$8:$A$500=$A206)*('Budget révisé'!$C$3:$AO$3=I$2),'Budget révisé'!$C$8:$AO$500)</f>
        <v>128151.8874504339</v>
      </c>
      <c r="J206" s="297"/>
      <c r="K206" s="172"/>
      <c r="L206" s="174">
        <f>SUMIFS(BV_Data_An_Cour!$Q:$Q,BV_Data_An_Cour!$V:$V,$B206,BV_Data_An_Cour!$W:$W,$C206,BV_Data_An_Cour!$X:$X,$L$2)</f>
        <v>0</v>
      </c>
      <c r="M206" s="297"/>
      <c r="N206" s="298">
        <f t="shared" si="119"/>
        <v>-128151.8874504339</v>
      </c>
      <c r="O206" s="297"/>
      <c r="P206" s="172"/>
      <c r="Q206" s="174">
        <f>SUMIFS(BV_Data_An_Prec!$P:$P,BV_Data_An_Prec!$U:$U,$B206,BV_Data_An_Prec!$V:$V,$C206,BV_Data_An_Prec!$W:$W,$L$2)</f>
        <v>115434.59</v>
      </c>
      <c r="R206" s="297"/>
      <c r="S206" s="193">
        <f t="shared" si="120"/>
        <v>-115434.59</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52210.028220547152</v>
      </c>
      <c r="G207" s="296"/>
      <c r="H207" s="172"/>
      <c r="I207" s="173">
        <f>+SUMPRODUCT(('Budget révisé'!$A$8:$A$500=$A207)*('Budget révisé'!$C$3:$AO$3=I$2),'Budget révisé'!$C$8:$AO$500)</f>
        <v>52210.028220547152</v>
      </c>
      <c r="J207" s="297"/>
      <c r="K207" s="172"/>
      <c r="L207" s="174">
        <f>SUMIFS(BV_Data_An_Cour!$Q:$Q,BV_Data_An_Cour!$V:$V,$B207,BV_Data_An_Cour!$W:$W,$C207,BV_Data_An_Cour!$X:$X,$L$2)</f>
        <v>0</v>
      </c>
      <c r="M207" s="297"/>
      <c r="N207" s="298">
        <f t="shared" si="119"/>
        <v>-52210.028220547152</v>
      </c>
      <c r="O207" s="297"/>
      <c r="P207" s="172"/>
      <c r="Q207" s="174">
        <f>SUMIFS(BV_Data_An_Prec!$P:$P,BV_Data_An_Prec!$U:$U,$B207,BV_Data_An_Prec!$V:$V,$C207,BV_Data_An_Prec!$W:$W,$L$2)</f>
        <v>26845.26</v>
      </c>
      <c r="R207" s="297"/>
      <c r="S207" s="193">
        <f t="shared" si="120"/>
        <v>-26845.26</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0.61052476567170078</v>
      </c>
      <c r="F209" s="41">
        <f>+SUM(F197:F208)</f>
        <v>1241585.2672364169</v>
      </c>
      <c r="G209" s="42" t="s">
        <v>170</v>
      </c>
      <c r="H209" s="40">
        <f>I209/I$193</f>
        <v>0.61052476567170078</v>
      </c>
      <c r="I209" s="41">
        <f>+SUM(I197:I208)</f>
        <v>1241585.2672364169</v>
      </c>
      <c r="J209" s="42" t="s">
        <v>170</v>
      </c>
      <c r="K209" s="40" t="e">
        <f>L209/L$193</f>
        <v>#DIV/0!</v>
      </c>
      <c r="L209" s="41">
        <f>+SUM(L197:L208)</f>
        <v>0</v>
      </c>
      <c r="M209" s="43"/>
      <c r="N209" s="46">
        <f t="shared" si="119"/>
        <v>-1241585.2672364169</v>
      </c>
      <c r="O209" s="42" t="s">
        <v>170</v>
      </c>
      <c r="P209" s="40">
        <f>Q209/Q$193</f>
        <v>0.58939254949488185</v>
      </c>
      <c r="Q209" s="41">
        <f>+SUM(Q197:Q208)</f>
        <v>1080297.3800000001</v>
      </c>
      <c r="R209" s="43"/>
      <c r="S209" s="293">
        <f t="shared" si="120"/>
        <v>-1080297.3800000001</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76106.387499999983</v>
      </c>
      <c r="G210" s="296"/>
      <c r="H210" s="172"/>
      <c r="I210" s="173">
        <f>+SUMPRODUCT(('Budget révisé'!$A$8:$A$500=$A210)*('Budget révisé'!$C$3:$AO$3=I$2),'Budget révisé'!$C$8:$AO$500)</f>
        <v>76106.387499999983</v>
      </c>
      <c r="J210" s="297"/>
      <c r="K210" s="172"/>
      <c r="L210" s="174">
        <f>SUMIFS(BV_Data_An_Cour!$Q:$Q,BV_Data_An_Cour!$V:$V,$B210,BV_Data_An_Cour!$W:$W,$C210,BV_Data_An_Cour!$X:$X,$L$2)</f>
        <v>0</v>
      </c>
      <c r="M210" s="297"/>
      <c r="N210" s="298">
        <f t="shared" si="119"/>
        <v>-76106.387499999983</v>
      </c>
      <c r="O210" s="297"/>
      <c r="P210" s="172"/>
      <c r="Q210" s="174">
        <f>SUMIFS(BV_Data_An_Prec!$P:$P,BV_Data_An_Prec!$U:$U,$B210,BV_Data_An_Prec!$V:$V,$C210,BV_Data_An_Prec!$W:$W,$L$2)</f>
        <v>79701.16</v>
      </c>
      <c r="R210" s="297"/>
      <c r="S210" s="193">
        <f t="shared" si="120"/>
        <v>-79701.16</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33736.372818014752</v>
      </c>
      <c r="G211" s="296"/>
      <c r="H211" s="172"/>
      <c r="I211" s="173">
        <f>+SUMPRODUCT(('Budget révisé'!$A$8:$A$500=$A211)*('Budget révisé'!$C$3:$AO$3=I$2),'Budget révisé'!$C$8:$AO$500)</f>
        <v>33736.372818014752</v>
      </c>
      <c r="J211" s="297"/>
      <c r="K211" s="172"/>
      <c r="L211" s="956">
        <f>SUMIFS(BV_Data_An_Cour!$Q:$Q,BV_Data_An_Cour!$V:$V,$B211,BV_Data_An_Cour!$W:$W,$C211,BV_Data_An_Cour!$X:$X,$L$2)</f>
        <v>0</v>
      </c>
      <c r="M211" s="297"/>
      <c r="N211" s="298">
        <f t="shared" si="119"/>
        <v>-33736.372818014752</v>
      </c>
      <c r="O211" s="297"/>
      <c r="P211" s="172"/>
      <c r="Q211" s="174">
        <f>SUMIFS(BV_Data_An_Prec!$P:$P,BV_Data_An_Prec!$U:$U,$B211,BV_Data_An_Prec!$V:$V,$C211,BV_Data_An_Prec!$W:$W,$L$2)</f>
        <v>34058.51</v>
      </c>
      <c r="R211" s="297"/>
      <c r="S211" s="193">
        <f t="shared" si="120"/>
        <v>-34058.51</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144377.21888888889</v>
      </c>
      <c r="G212" s="303"/>
      <c r="H212" s="302"/>
      <c r="I212" s="171">
        <f>+SUMPRODUCT(('Budget révisé'!$A$8:$A$500=$A212)*('Budget révisé'!$C$3:$AO$3=I$2),'Budget révisé'!$C$8:$AO$500)</f>
        <v>144377.21888888889</v>
      </c>
      <c r="J212" s="304"/>
      <c r="K212" s="302"/>
      <c r="L212" s="174">
        <f>SUMIFS(BV_Data_An_Cour!$Q:$Q,BV_Data_An_Cour!$V:$V,$B212,BV_Data_An_Cour!$W:$W,$C212,BV_Data_An_Cour!$X:$X,$L$2)</f>
        <v>0</v>
      </c>
      <c r="M212" s="304"/>
      <c r="N212" s="305">
        <f t="shared" si="119"/>
        <v>-144377.21888888889</v>
      </c>
      <c r="O212" s="304"/>
      <c r="P212" s="302"/>
      <c r="Q212" s="174">
        <f>SUMIFS(BV_Data_An_Prec!$P:$P,BV_Data_An_Prec!$U:$U,$B212,BV_Data_An_Prec!$V:$V,$C212,BV_Data_An_Prec!$W:$W,$L$2)</f>
        <v>163890.06</v>
      </c>
      <c r="R212" s="304"/>
      <c r="S212" s="196">
        <f t="shared" si="120"/>
        <v>-163890.06</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65656.138019999999</v>
      </c>
      <c r="G213" s="296"/>
      <c r="H213" s="172"/>
      <c r="I213" s="173">
        <f>+SUMPRODUCT(('Budget révisé'!$A$8:$A$500=$A213)*('Budget révisé'!$C$3:$AO$3=I$2),'Budget révisé'!$C$8:$AO$500)</f>
        <v>65656.138019999999</v>
      </c>
      <c r="J213" s="297"/>
      <c r="K213" s="172"/>
      <c r="L213" s="175">
        <f>SUMIFS(BV_Data_An_Cour!$Q:$Q,BV_Data_An_Cour!$V:$V,$B213,BV_Data_An_Cour!$W:$W,$C213,BV_Data_An_Cour!$X:$X,$L$2)</f>
        <v>0</v>
      </c>
      <c r="M213" s="297"/>
      <c r="N213" s="298">
        <f t="shared" si="119"/>
        <v>-65656.138019999999</v>
      </c>
      <c r="O213" s="297"/>
      <c r="P213" s="172"/>
      <c r="Q213" s="175">
        <f>SUMIFS(BV_Data_An_Prec!$P:$P,BV_Data_An_Prec!$U:$U,$B213,BV_Data_An_Prec!$V:$V,$C213,BV_Data_An_Prec!$W:$W,$L$2)</f>
        <v>42683.32</v>
      </c>
      <c r="R213" s="297"/>
      <c r="S213" s="193">
        <f t="shared" si="120"/>
        <v>-42683.32</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6535.1698500000002</v>
      </c>
      <c r="G214" s="296"/>
      <c r="H214" s="172"/>
      <c r="I214" s="173">
        <f>+SUMPRODUCT(('Budget révisé'!$A$8:$A$500=$A214)*('Budget révisé'!$C$3:$AO$3=I$2),'Budget révisé'!$C$8:$AO$500)</f>
        <v>6535.1698500000002</v>
      </c>
      <c r="J214" s="297"/>
      <c r="K214" s="172"/>
      <c r="L214" s="174">
        <f>SUMIFS(BV_Data_An_Cour!$Q:$Q,BV_Data_An_Cour!$V:$V,$B214,BV_Data_An_Cour!$W:$W,$C214,BV_Data_An_Cour!$X:$X,$L$2)</f>
        <v>0</v>
      </c>
      <c r="M214" s="297"/>
      <c r="N214" s="298">
        <f t="shared" si="119"/>
        <v>-6535.1698500000002</v>
      </c>
      <c r="O214" s="297"/>
      <c r="P214" s="172"/>
      <c r="Q214" s="174">
        <f>SUMIFS(BV_Data_An_Prec!$P:$P,BV_Data_An_Prec!$U:$U,$B214,BV_Data_An_Prec!$V:$V,$C214,BV_Data_An_Prec!$W:$W,$L$2)</f>
        <v>5069.71</v>
      </c>
      <c r="R214" s="297"/>
      <c r="S214" s="193">
        <f t="shared" si="120"/>
        <v>-5069.71</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43271.960266666661</v>
      </c>
      <c r="G215" s="303"/>
      <c r="H215" s="302"/>
      <c r="I215" s="171">
        <f>+SUMPRODUCT(('Budget révisé'!$A$8:$A$500=$A215)*('Budget révisé'!$C$3:$AO$3=I$2),'Budget révisé'!$C$8:$AO$500)</f>
        <v>43271.960266666661</v>
      </c>
      <c r="J215" s="304"/>
      <c r="K215" s="302"/>
      <c r="L215" s="174">
        <f>SUMIFS(BV_Data_An_Cour!$Q:$Q,BV_Data_An_Cour!$V:$V,$B215,BV_Data_An_Cour!$W:$W,$C215,BV_Data_An_Cour!$X:$X,$L$2)</f>
        <v>0</v>
      </c>
      <c r="M215" s="304"/>
      <c r="N215" s="305">
        <f t="shared" si="119"/>
        <v>-43271.960266666661</v>
      </c>
      <c r="O215" s="304"/>
      <c r="P215" s="302"/>
      <c r="Q215" s="174">
        <f>SUMIFS(BV_Data_An_Prec!$P:$P,BV_Data_An_Prec!$U:$U,$B215,BV_Data_An_Prec!$V:$V,$C215,BV_Data_An_Prec!$W:$W,$L$2)</f>
        <v>26422.42</v>
      </c>
      <c r="R215" s="304"/>
      <c r="S215" s="196">
        <f t="shared" si="120"/>
        <v>-26422.42</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12521.983925762912</v>
      </c>
      <c r="G217" s="296"/>
      <c r="H217" s="172"/>
      <c r="I217" s="173">
        <f>+SUMPRODUCT(('Budget révisé'!$A$8:$A$500=$A217)*('Budget révisé'!$C$3:$AO$3=I$2),'Budget révisé'!$C$8:$AO$500)</f>
        <v>12521.983925762912</v>
      </c>
      <c r="J217" s="297"/>
      <c r="K217" s="172"/>
      <c r="L217" s="174">
        <f>SUMIFS(BV_Data_An_Cour!$Q:$Q,BV_Data_An_Cour!$V:$V,$B217,BV_Data_An_Cour!$W:$W,$C217,BV_Data_An_Cour!$X:$X,$L$2)</f>
        <v>0</v>
      </c>
      <c r="M217" s="297"/>
      <c r="N217" s="298">
        <f t="shared" si="119"/>
        <v>-12521.983925762912</v>
      </c>
      <c r="O217" s="297"/>
      <c r="P217" s="172"/>
      <c r="Q217" s="174">
        <f>SUMIFS(BV_Data_An_Prec!$P:$P,BV_Data_An_Prec!$U:$U,$B217,BV_Data_An_Prec!$V:$V,$C217,BV_Data_An_Prec!$W:$W,$L$2)</f>
        <v>7968.3</v>
      </c>
      <c r="R217" s="297"/>
      <c r="S217" s="193">
        <f t="shared" si="120"/>
        <v>-7968.3</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6653.8530829682632</v>
      </c>
      <c r="G218" s="296"/>
      <c r="H218" s="172"/>
      <c r="I218" s="173">
        <f>+SUMPRODUCT(('Budget révisé'!$A$8:$A$500=$A218)*('Budget révisé'!$C$3:$AO$3=I$2),'Budget révisé'!$C$8:$AO$500)</f>
        <v>6653.8530829682632</v>
      </c>
      <c r="J218" s="297"/>
      <c r="K218" s="172"/>
      <c r="L218" s="174">
        <f>SUMIFS(BV_Data_An_Cour!$Q:$Q,BV_Data_An_Cour!$V:$V,$B218,BV_Data_An_Cour!$W:$W,$C218,BV_Data_An_Cour!$X:$X,$L$2)</f>
        <v>0</v>
      </c>
      <c r="M218" s="297"/>
      <c r="N218" s="298">
        <f t="shared" si="119"/>
        <v>-6653.8530829682632</v>
      </c>
      <c r="O218" s="297"/>
      <c r="P218" s="172"/>
      <c r="Q218" s="174">
        <f>SUMIFS(BV_Data_An_Prec!$P:$P,BV_Data_An_Prec!$U:$U,$B218,BV_Data_An_Prec!$V:$V,$C218,BV_Data_An_Prec!$W:$W,$L$2)</f>
        <v>7512.71</v>
      </c>
      <c r="R218" s="297"/>
      <c r="S218" s="193">
        <f t="shared" si="120"/>
        <v>-7512.71</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5386.1306400000012</v>
      </c>
      <c r="G219" s="296"/>
      <c r="H219" s="172"/>
      <c r="I219" s="173">
        <f>+SUMPRODUCT(('Budget révisé'!$A$8:$A$500=$A219)*('Budget révisé'!$C$3:$AO$3=I$2),'Budget révisé'!$C$8:$AO$500)</f>
        <v>5386.1306400000012</v>
      </c>
      <c r="J219" s="297"/>
      <c r="K219" s="172"/>
      <c r="L219" s="548">
        <f>SUMIFS(BV_Data_An_Cour!$Q:$Q,BV_Data_An_Cour!$V:$V,$B219,BV_Data_An_Cour!$W:$W,$C219,BV_Data_An_Cour!$X:$X,$L$2)</f>
        <v>0</v>
      </c>
      <c r="M219" s="297"/>
      <c r="N219" s="298">
        <f t="shared" si="119"/>
        <v>-5386.1306400000012</v>
      </c>
      <c r="O219" s="297"/>
      <c r="P219" s="172"/>
      <c r="Q219" s="548">
        <f>SUMIFS(BV_Data_An_Prec!$P:$P,BV_Data_An_Prec!$U:$U,$B219,BV_Data_An_Prec!$V:$V,$C219,BV_Data_An_Prec!$W:$W,$L$2)</f>
        <v>6169.37</v>
      </c>
      <c r="R219" s="297"/>
      <c r="S219" s="193">
        <f t="shared" si="120"/>
        <v>-6169.37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2487.0823450000003</v>
      </c>
      <c r="G220" s="296"/>
      <c r="H220" s="172"/>
      <c r="I220" s="173">
        <f>+SUMPRODUCT(('Budget révisé'!$A$8:$A$500=$A220)*('Budget révisé'!$C$3:$AO$3=I$2),'Budget révisé'!$C$8:$AO$500)</f>
        <v>2487.0823450000003</v>
      </c>
      <c r="J220" s="297"/>
      <c r="K220" s="172"/>
      <c r="L220" s="275">
        <f>SUMIFS(BV_Data_An_Cour!$Q:$Q,BV_Data_An_Cour!$V:$V,$B220,BV_Data_An_Cour!$W:$W,$C220,BV_Data_An_Cour!$X:$X,$L$2)</f>
        <v>0</v>
      </c>
      <c r="M220" s="297"/>
      <c r="N220" s="298">
        <f t="shared" si="119"/>
        <v>-2487.0823450000003</v>
      </c>
      <c r="O220" s="297"/>
      <c r="P220" s="172"/>
      <c r="Q220" s="174">
        <f>SUMIFS(BV_Data_An_Prec!$P:$P,BV_Data_An_Prec!$U:$U,$B220,BV_Data_An_Prec!$V:$V,$C220,BV_Data_An_Prec!$W:$W,$L$2)</f>
        <v>2921.23</v>
      </c>
      <c r="R220" s="297"/>
      <c r="S220" s="193">
        <f t="shared" si="120"/>
        <v>-2921.23</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1327.5658550000001</v>
      </c>
      <c r="G221" s="296"/>
      <c r="H221" s="172"/>
      <c r="I221" s="173">
        <f>+SUMPRODUCT(('Budget révisé'!$A$8:$A$500=$A221)*('Budget révisé'!$C$3:$AO$3=I$2),'Budget révisé'!$C$8:$AO$500)</f>
        <v>1327.5658550000001</v>
      </c>
      <c r="J221" s="297"/>
      <c r="K221" s="172"/>
      <c r="L221" s="275">
        <f>SUMIFS(BV_Data_An_Cour!$Q:$Q,BV_Data_An_Cour!$V:$V,$B221,BV_Data_An_Cour!$W:$W,$C221,BV_Data_An_Cour!$X:$X,$L$2)</f>
        <v>0</v>
      </c>
      <c r="M221" s="297"/>
      <c r="N221" s="298">
        <f t="shared" si="119"/>
        <v>-1327.5658550000001</v>
      </c>
      <c r="O221" s="297"/>
      <c r="P221" s="172"/>
      <c r="Q221" s="174">
        <f>SUMIFS(BV_Data_An_Prec!$P:$P,BV_Data_An_Prec!$U:$U,$B221,BV_Data_An_Prec!$V:$V,$C221,BV_Data_An_Prec!$W:$W,$L$2)</f>
        <v>1687.14</v>
      </c>
      <c r="R221" s="297"/>
      <c r="S221" s="193">
        <f t="shared" si="120"/>
        <v>-1687.14</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6403.9271449999978</v>
      </c>
      <c r="G222" s="296"/>
      <c r="H222" s="172"/>
      <c r="I222" s="173">
        <f>+SUMPRODUCT(('Budget révisé'!$A$8:$A$500=$A222)*('Budget révisé'!$C$3:$AO$3=I$2),'Budget révisé'!$C$8:$AO$500)</f>
        <v>6403.9271449999978</v>
      </c>
      <c r="J222" s="297"/>
      <c r="K222" s="172"/>
      <c r="L222" s="275">
        <f>SUMIFS(BV_Data_An_Cour!$Q:$Q,BV_Data_An_Cour!$V:$V,$B222,BV_Data_An_Cour!$W:$W,$C222,BV_Data_An_Cour!$X:$X,$L$2)</f>
        <v>0</v>
      </c>
      <c r="M222" s="297"/>
      <c r="N222" s="298">
        <f t="shared" si="119"/>
        <v>-6403.9271449999978</v>
      </c>
      <c r="O222" s="297"/>
      <c r="P222" s="172"/>
      <c r="Q222" s="174">
        <f>SUMIFS(BV_Data_An_Prec!$P:$P,BV_Data_An_Prec!$U:$U,$B222,BV_Data_An_Prec!$V:$V,$C222,BV_Data_An_Prec!$W:$W,$L$2)</f>
        <v>6096.55</v>
      </c>
      <c r="R222" s="297"/>
      <c r="S222" s="193">
        <f t="shared" si="120"/>
        <v>-6096.55</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9514.3641999999963</v>
      </c>
      <c r="G223" s="296"/>
      <c r="H223" s="172"/>
      <c r="I223" s="173">
        <f>+SUMPRODUCT(('Budget révisé'!$A$8:$A$500=$A223)*('Budget révisé'!$C$3:$AO$3=I$2),'Budget révisé'!$C$8:$AO$500)</f>
        <v>9514.3641999999963</v>
      </c>
      <c r="J223" s="297"/>
      <c r="K223" s="172"/>
      <c r="L223" s="275">
        <f>SUMIFS(BV_Data_An_Cour!$Q:$Q,BV_Data_An_Cour!$V:$V,$B223,BV_Data_An_Cour!$W:$W,$C223,BV_Data_An_Cour!$X:$X,$L$2)</f>
        <v>0</v>
      </c>
      <c r="M223" s="297"/>
      <c r="N223" s="298">
        <f t="shared" si="119"/>
        <v>-9514.3641999999963</v>
      </c>
      <c r="O223" s="297"/>
      <c r="P223" s="172"/>
      <c r="Q223" s="174">
        <f>SUMIFS(BV_Data_An_Prec!$P:$P,BV_Data_An_Prec!$U:$U,$B223,BV_Data_An_Prec!$V:$V,$C223,BV_Data_An_Prec!$W:$W,$L$2)</f>
        <v>13998.85</v>
      </c>
      <c r="R223" s="297"/>
      <c r="S223" s="193">
        <f t="shared" si="120"/>
        <v>-13998.85</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19533.574749433294</v>
      </c>
      <c r="G224" s="296"/>
      <c r="H224" s="172"/>
      <c r="I224" s="173">
        <f>+SUMPRODUCT(('Budget révisé'!$A$8:$A$500=$A224)*('Budget révisé'!$C$3:$AO$3=I$2),'Budget révisé'!$C$8:$AO$500)</f>
        <v>19533.574749433294</v>
      </c>
      <c r="J224" s="297"/>
      <c r="K224" s="172"/>
      <c r="L224" s="275">
        <f>AF447*W5</f>
        <v>0</v>
      </c>
      <c r="M224" s="297"/>
      <c r="N224" s="298">
        <f t="shared" si="119"/>
        <v>-19533.574749433294</v>
      </c>
      <c r="O224" s="297"/>
      <c r="P224" s="172"/>
      <c r="Q224" s="174">
        <f>AL447*W5</f>
        <v>17640.162</v>
      </c>
      <c r="R224" s="297"/>
      <c r="S224" s="193">
        <f t="shared" si="120"/>
        <v>-17640.162</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0.21317073738143863</v>
      </c>
      <c r="F228" s="41">
        <f>+SUM(F210:F227)</f>
        <v>433511.72928673483</v>
      </c>
      <c r="G228" s="42" t="s">
        <v>170</v>
      </c>
      <c r="H228" s="40">
        <f>I228/I$193</f>
        <v>0.21317073738143863</v>
      </c>
      <c r="I228" s="41">
        <f>+SUM(I210:I227)</f>
        <v>433511.72928673483</v>
      </c>
      <c r="J228" s="42" t="s">
        <v>170</v>
      </c>
      <c r="K228" s="40" t="e">
        <f>L228/L$193</f>
        <v>#DIV/0!</v>
      </c>
      <c r="L228" s="41">
        <f>+SUM(L210:L227)</f>
        <v>0</v>
      </c>
      <c r="M228" s="44"/>
      <c r="N228" s="41">
        <f t="shared" si="119"/>
        <v>-433511.72928673483</v>
      </c>
      <c r="O228" s="42" t="s">
        <v>170</v>
      </c>
      <c r="P228" s="40">
        <f>Q228/Q$193</f>
        <v>0.22686430149404471</v>
      </c>
      <c r="Q228" s="41">
        <f>+SUM(Q210:Q227)</f>
        <v>415819.49199999997</v>
      </c>
      <c r="R228" s="44"/>
      <c r="S228" s="310">
        <f t="shared" si="120"/>
        <v>-415819.49199999997</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0.82369550305313932</v>
      </c>
      <c r="F230" s="41">
        <f>F209+F228</f>
        <v>1675096.9965231516</v>
      </c>
      <c r="G230" s="42" t="s">
        <v>111</v>
      </c>
      <c r="H230" s="40">
        <f>I230/I$193</f>
        <v>0.82369550305313932</v>
      </c>
      <c r="I230" s="41">
        <f>I209+I228</f>
        <v>1675096.9965231516</v>
      </c>
      <c r="J230" s="42" t="s">
        <v>111</v>
      </c>
      <c r="K230" s="40" t="e">
        <f>L230/L$193</f>
        <v>#DIV/0!</v>
      </c>
      <c r="L230" s="41">
        <f>L209+L228</f>
        <v>0</v>
      </c>
      <c r="M230" s="44"/>
      <c r="N230" s="46">
        <f t="shared" ref="N230:N232" si="129">L230-I230</f>
        <v>-1675096.9965231516</v>
      </c>
      <c r="O230" s="42" t="s">
        <v>111</v>
      </c>
      <c r="P230" s="40">
        <f>Q230/Q$193</f>
        <v>0.81625685098892653</v>
      </c>
      <c r="Q230" s="41">
        <f>Q209+Q228</f>
        <v>1496116.872</v>
      </c>
      <c r="R230" s="44"/>
      <c r="S230" s="293">
        <f>L230-Q230</f>
        <v>-1496116.872</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358539.20801381255</v>
      </c>
      <c r="G232" s="338"/>
      <c r="H232" s="336"/>
      <c r="I232" s="337">
        <f>I193-I230</f>
        <v>358539.20801381255</v>
      </c>
      <c r="J232" s="339"/>
      <c r="K232" s="340"/>
      <c r="L232" s="337">
        <f>L193-L230</f>
        <v>0</v>
      </c>
      <c r="M232" s="339"/>
      <c r="N232" s="337">
        <f t="shared" si="129"/>
        <v>-358539.20801381255</v>
      </c>
      <c r="O232" s="339"/>
      <c r="P232" s="340"/>
      <c r="Q232" s="337">
        <f>Q193-Q230</f>
        <v>336782.74799999991</v>
      </c>
      <c r="R232" s="339"/>
      <c r="S232" s="341">
        <f>L232-Q232</f>
        <v>-336782.74799999991</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Novembre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976188.21987603628</v>
      </c>
      <c r="F240" s="191">
        <f>+SUMPRODUCT(('Budget original'!$A$8:$A$500=$A240)*('Budget original'!$C$3:$AO$3=F$2),'Budget original'!$C$8:$AO$500)</f>
        <v>215933.75889122789</v>
      </c>
      <c r="G240" s="342">
        <f>+SUMPRODUCT(('Budget révisé'!$A$8:$A$500=$A240)*('Budget révisé'!$C$3:$AO$3=G$2),'Budget révisé'!$C$8:$AO$500)</f>
        <v>0</v>
      </c>
      <c r="H240" s="191">
        <f>+SUMPRODUCT(('Budget révisé'!$A$8:$A$500=$A240)*('Budget révisé'!$C$3:$AO$3=H$2),'Budget révisé'!$C$8:$AO$500)</f>
        <v>976188.21987603628</v>
      </c>
      <c r="I240" s="191">
        <f>+SUMPRODUCT(('Budget révisé'!$A$8:$A$500=$A240)*('Budget révisé'!$C$3:$AO$3=I$2),'Budget révisé'!$C$8:$AO$500)</f>
        <v>215933.75889122789</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-215933.75889122789</v>
      </c>
      <c r="O240" s="319">
        <f>-SUMIFS(BV_Data_An_Prec!$P:$P,BV_Data_An_Prec!$U:$U,$B240,BV_Data_An_Prec!$V:$V,$C240,BV_Data_An_Prec!$W:$W,O$2)</f>
        <v>678</v>
      </c>
      <c r="P240" s="173">
        <f>-SUMIFS(BV_Data_An_Prec!$P:$P,BV_Data_An_Prec!$X:$X,"Oui",BV_Data_An_Prec!$U:$U,$B240,BV_Data_An_Prec!$V:$V,$C240)</f>
        <v>926040.35</v>
      </c>
      <c r="Q240" s="174">
        <f>-SUMIFS(BV_Data_An_Prec!$P:$P,BV_Data_An_Prec!$U:$U,$B240,BV_Data_An_Prec!$V:$V,$C240,BV_Data_An_Prec!$W:$W,$L$2)</f>
        <v>204791.36999999997</v>
      </c>
      <c r="R240" s="318">
        <f>IF(O240=0,0,J240/O240)</f>
        <v>0</v>
      </c>
      <c r="S240" s="193">
        <f>L240-Q240</f>
        <v>-204791.36999999997</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215933.75889122789</v>
      </c>
      <c r="O241" s="319"/>
      <c r="P241" s="172"/>
      <c r="Q241" s="344">
        <f>IFERROR(Q240/P240,0)</f>
        <v>0.221147350652701</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976188.21987603628</v>
      </c>
      <c r="F249" s="28">
        <f t="shared" si="131"/>
        <v>215933.75889122789</v>
      </c>
      <c r="G249" s="29"/>
      <c r="H249" s="26">
        <f t="shared" ref="H249:I249" si="132">H243+H246+H240</f>
        <v>976188.21987603628</v>
      </c>
      <c r="I249" s="28">
        <f t="shared" si="132"/>
        <v>215933.75889122789</v>
      </c>
      <c r="J249" s="29"/>
      <c r="K249" s="26">
        <f t="shared" ref="K249:L249" si="133">K243+K246+K240</f>
        <v>0</v>
      </c>
      <c r="L249" s="28">
        <f t="shared" si="133"/>
        <v>0</v>
      </c>
      <c r="M249" s="70">
        <f>L250-I250</f>
        <v>-0.2212009472093904</v>
      </c>
      <c r="N249" s="28">
        <f>L249-I249</f>
        <v>-215933.75889122789</v>
      </c>
      <c r="O249" s="29"/>
      <c r="P249" s="26">
        <f t="shared" ref="P249:Q249" si="134">P243+P246+P240</f>
        <v>926040.35</v>
      </c>
      <c r="Q249" s="28">
        <f t="shared" si="134"/>
        <v>204791.36999999997</v>
      </c>
      <c r="R249" s="70">
        <f>L250-Q250</f>
        <v>-0.221147350652701</v>
      </c>
      <c r="S249" s="357">
        <f>L249-Q249</f>
        <v>-204791.36999999997</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0.221147350652701</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3524.6113026819917</v>
      </c>
      <c r="G253" s="221"/>
      <c r="H253" s="227"/>
      <c r="I253" s="225">
        <f>+SUMPRODUCT(('Budget révisé'!$A$8:$A$500=$A253)*('Budget révisé'!$C$3:$AO$3=I$2),'Budget révisé'!$C$8:$AO$500)</f>
        <v>3524.6113026819917</v>
      </c>
      <c r="J253" s="221"/>
      <c r="K253" s="227"/>
      <c r="L253" s="275">
        <f>SUMIFS(BV_Data_An_Cour!$Q:$Q,BV_Data_An_Cour!$V:$V,$B253,BV_Data_An_Cour!$W:$W,$C253,BV_Data_An_Cour!$X:$X,$L$2)</f>
        <v>0</v>
      </c>
      <c r="M253" s="221"/>
      <c r="N253" s="226">
        <f t="shared" ref="N253:N283" si="135">L253-I253</f>
        <v>-3524.6113026819917</v>
      </c>
      <c r="O253" s="221"/>
      <c r="P253" s="227"/>
      <c r="Q253" s="275">
        <f>SUMIFS(BV_Data_An_Prec!$P:$P,BV_Data_An_Prec!$U:$U,$B253,BV_Data_An_Prec!$V:$V,$C253,BV_Data_An_Prec!$W:$W,$L$2)</f>
        <v>9300.32</v>
      </c>
      <c r="R253" s="221"/>
      <c r="S253" s="506">
        <f>L253-Q253</f>
        <v>-9300.32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5905.4788154904227</v>
      </c>
      <c r="G254" s="277"/>
      <c r="H254" s="227"/>
      <c r="I254" s="238">
        <f>+SUMPRODUCT(('Budget révisé'!$A$8:$A$500=$A254)*('Budget révisé'!$C$3:$AO$3=I$2),'Budget révisé'!$C$8:$AO$500)</f>
        <v>5905.4788154904227</v>
      </c>
      <c r="J254" s="221"/>
      <c r="K254" s="227"/>
      <c r="L254" s="275">
        <f>SUMIFS(BV_Data_An_Cour!$Q:$Q,BV_Data_An_Cour!$V:$V,$B254,BV_Data_An_Cour!$W:$W,$C254,BV_Data_An_Cour!$X:$X,$L$2)</f>
        <v>0</v>
      </c>
      <c r="M254" s="221"/>
      <c r="N254" s="226">
        <f t="shared" si="135"/>
        <v>-5905.4788154904227</v>
      </c>
      <c r="O254" s="221"/>
      <c r="P254" s="227"/>
      <c r="Q254" s="275">
        <f>SUMIFS(BV_Data_An_Prec!$P:$P,BV_Data_An_Prec!$U:$U,$B254,BV_Data_An_Prec!$V:$V,$C254,BV_Data_An_Prec!$W:$W,$L$2)</f>
        <v>6291.03</v>
      </c>
      <c r="R254" s="221"/>
      <c r="S254" s="278">
        <f>L254-Q254</f>
        <v>-6291.03</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5083.6643558314163</v>
      </c>
      <c r="G255" s="281"/>
      <c r="H255" s="280"/>
      <c r="I255" s="225">
        <f>+SUMPRODUCT(('Budget révisé'!$A$8:$A$500=$A255)*('Budget révisé'!$C$3:$AO$3=I$2),'Budget révisé'!$C$8:$AO$500)</f>
        <v>5083.6643558314163</v>
      </c>
      <c r="J255" s="282"/>
      <c r="K255" s="280"/>
      <c r="L255" s="239">
        <f>SUMIFS(BV_Data_An_Cour!$Q:$Q,BV_Data_An_Cour!$V:$V,$B255,BV_Data_An_Cour!$W:$W,$C255,BV_Data_An_Cour!$X:$X,$L$2)</f>
        <v>0</v>
      </c>
      <c r="M255" s="282"/>
      <c r="N255" s="283">
        <f t="shared" si="135"/>
        <v>-5083.6643558314163</v>
      </c>
      <c r="O255" s="282"/>
      <c r="P255" s="280"/>
      <c r="Q255" s="239">
        <f>SUMIFS(BV_Data_An_Prec!$P:$P,BV_Data_An_Prec!$U:$U,$B255,BV_Data_An_Prec!$V:$V,$C255,BV_Data_An_Prec!$W:$W,$L$2)</f>
        <v>39804.199999999997</v>
      </c>
      <c r="R255" s="282"/>
      <c r="S255" s="284">
        <f t="shared" ref="S255:S284" si="136">L255-Q255</f>
        <v>-39804.199999999997</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46534.482758620688</v>
      </c>
      <c r="G256" s="277"/>
      <c r="H256" s="227"/>
      <c r="I256" s="225">
        <f>+SUMPRODUCT(('Budget révisé'!$A$8:$A$500=$A256)*('Budget révisé'!$C$3:$AO$3=I$2),'Budget révisé'!$C$8:$AO$500)</f>
        <v>46534.482758620688</v>
      </c>
      <c r="J256" s="221"/>
      <c r="K256" s="227"/>
      <c r="L256" s="275">
        <f>SUMIFS(BV_Data_An_Cour!$Q:$Q,BV_Data_An_Cour!$V:$V,$B256,BV_Data_An_Cour!$W:$W,$C256,BV_Data_An_Cour!$X:$X,$L$2)</f>
        <v>0</v>
      </c>
      <c r="M256" s="221"/>
      <c r="N256" s="226">
        <f t="shared" si="135"/>
        <v>-46534.482758620688</v>
      </c>
      <c r="O256" s="221"/>
      <c r="P256" s="227"/>
      <c r="Q256" s="275">
        <f>SUMIFS(BV_Data_An_Prec!$P:$P,BV_Data_An_Prec!$U:$U,$B256,BV_Data_An_Prec!$V:$V,$C256,BV_Data_An_Prec!$W:$W,$L$2)</f>
        <v>26458.01</v>
      </c>
      <c r="R256" s="221"/>
      <c r="S256" s="278">
        <f t="shared" si="136"/>
        <v>-26458.01</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7432.9820206472414</v>
      </c>
      <c r="G260" s="277"/>
      <c r="H260" s="227"/>
      <c r="I260" s="238">
        <f>+SUMPRODUCT(('Budget révisé'!$A$8:$A$500=$A260)*('Budget révisé'!$C$3:$AO$3=I$2),'Budget révisé'!$C$8:$AO$500)</f>
        <v>7432.9820206472414</v>
      </c>
      <c r="J260" s="221"/>
      <c r="K260" s="227"/>
      <c r="L260" s="275">
        <f>SUMIFS(BV_Data_An_Cour!$Q:$Q,BV_Data_An_Cour!$V:$V,$B260,BV_Data_An_Cour!$W:$W,$C260,BV_Data_An_Cour!$X:$X,$L$2)</f>
        <v>0</v>
      </c>
      <c r="M260" s="221"/>
      <c r="N260" s="226">
        <f t="shared" si="135"/>
        <v>-7432.9820206472414</v>
      </c>
      <c r="O260" s="221"/>
      <c r="P260" s="227"/>
      <c r="Q260" s="275">
        <f>SUMIFS(BV_Data_An_Prec!$P:$P,BV_Data_An_Prec!$U:$U,$B260,BV_Data_An_Prec!$V:$V,$C260,BV_Data_An_Prec!$W:$W,$L$2)</f>
        <v>4809.4799999999996</v>
      </c>
      <c r="R260" s="221"/>
      <c r="S260" s="278">
        <f t="shared" si="136"/>
        <v>-4809.4799999999996</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6656.9973227317023</v>
      </c>
      <c r="G261" s="281"/>
      <c r="H261" s="280"/>
      <c r="I261" s="225">
        <f>+SUMPRODUCT(('Budget révisé'!$A$8:$A$500=$A261)*('Budget révisé'!$C$3:$AO$3=I$2),'Budget révisé'!$C$8:$AO$500)</f>
        <v>6656.9973227317023</v>
      </c>
      <c r="J261" s="282"/>
      <c r="K261" s="280"/>
      <c r="L261" s="239">
        <f>SUMIFS(BV_Data_An_Cour!$Q:$Q,BV_Data_An_Cour!$V:$V,$B261,BV_Data_An_Cour!$W:$W,$C261,BV_Data_An_Cour!$X:$X,$L$2)</f>
        <v>0</v>
      </c>
      <c r="M261" s="282"/>
      <c r="N261" s="283">
        <f t="shared" si="135"/>
        <v>-6656.9973227317023</v>
      </c>
      <c r="O261" s="282"/>
      <c r="P261" s="280"/>
      <c r="Q261" s="239">
        <f>SUMIFS(BV_Data_An_Prec!$P:$P,BV_Data_An_Prec!$U:$U,$B261,BV_Data_An_Prec!$V:$V,$C261,BV_Data_An_Prec!$W:$W,$L$2)</f>
        <v>8914.0400000000009</v>
      </c>
      <c r="R261" s="282"/>
      <c r="S261" s="284">
        <f t="shared" si="136"/>
        <v>-8914.0400000000009</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5286.4390504045859</v>
      </c>
      <c r="G262" s="277"/>
      <c r="H262" s="227"/>
      <c r="I262" s="225">
        <f>+SUMPRODUCT(('Budget révisé'!$A$8:$A$500=$A262)*('Budget révisé'!$C$3:$AO$3=I$2),'Budget révisé'!$C$8:$AO$500)</f>
        <v>5286.4390504045859</v>
      </c>
      <c r="J262" s="221"/>
      <c r="K262" s="227"/>
      <c r="L262" s="275">
        <f>SUMIFS(BV_Data_An_Cour!$Q:$Q,BV_Data_An_Cour!$V:$V,$B262,BV_Data_An_Cour!$W:$W,$C262,BV_Data_An_Cour!$X:$X,$L$2)</f>
        <v>0</v>
      </c>
      <c r="M262" s="221"/>
      <c r="N262" s="226">
        <f t="shared" si="135"/>
        <v>-5286.4390504045859</v>
      </c>
      <c r="O262" s="221"/>
      <c r="P262" s="227"/>
      <c r="Q262" s="275">
        <f>SUMIFS(BV_Data_An_Prec!$P:$P,BV_Data_An_Prec!$U:$U,$B262,BV_Data_An_Prec!$V:$V,$C262,BV_Data_An_Prec!$W:$W,$L$2)</f>
        <v>6388.4</v>
      </c>
      <c r="R262" s="221"/>
      <c r="S262" s="278">
        <f t="shared" si="136"/>
        <v>-6388.4</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2153.7344279426093</v>
      </c>
      <c r="G263" s="277"/>
      <c r="H263" s="227"/>
      <c r="I263" s="225">
        <f>+SUMPRODUCT(('Budget révisé'!$A$8:$A$500=$A263)*('Budget révisé'!$C$3:$AO$3=I$2),'Budget révisé'!$C$8:$AO$500)</f>
        <v>2153.7344279426093</v>
      </c>
      <c r="J263" s="221"/>
      <c r="K263" s="227"/>
      <c r="L263" s="275">
        <f>SUMIFS(BV_Data_An_Cour!$Q:$Q,BV_Data_An_Cour!$V:$V,$B263,BV_Data_An_Cour!$W:$W,$C263,BV_Data_An_Cour!$X:$X,$L$2)</f>
        <v>0</v>
      </c>
      <c r="M263" s="221"/>
      <c r="N263" s="226">
        <f t="shared" si="135"/>
        <v>-2153.7344279426093</v>
      </c>
      <c r="O263" s="221"/>
      <c r="P263" s="227"/>
      <c r="Q263" s="275">
        <f>SUMIFS(BV_Data_An_Prec!$P:$P,BV_Data_An_Prec!$U:$U,$B263,BV_Data_An_Prec!$V:$V,$C263,BV_Data_An_Prec!$W:$W,$L$2)</f>
        <v>1485.69</v>
      </c>
      <c r="R263" s="221"/>
      <c r="S263" s="278">
        <f t="shared" si="136"/>
        <v>-1485.69</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82578.390054350661</v>
      </c>
      <c r="G265" s="42" t="s">
        <v>111</v>
      </c>
      <c r="H265" s="40" t="e">
        <f>I265/I$243</f>
        <v>#DIV/0!</v>
      </c>
      <c r="I265" s="41">
        <f>+SUM(I253:I264)</f>
        <v>82578.390054350661</v>
      </c>
      <c r="J265" s="42" t="s">
        <v>111</v>
      </c>
      <c r="K265" s="40">
        <f>IF(L243=0,0,L265/L$243)</f>
        <v>0</v>
      </c>
      <c r="L265" s="41">
        <f>+SUM(L253:L264)</f>
        <v>0</v>
      </c>
      <c r="M265" s="43"/>
      <c r="N265" s="46">
        <f t="shared" si="135"/>
        <v>-82578.390054350661</v>
      </c>
      <c r="O265" s="42" t="s">
        <v>111</v>
      </c>
      <c r="P265" s="40">
        <f>IF(Q243=0,0,Q265/Q$243)</f>
        <v>0</v>
      </c>
      <c r="Q265" s="41">
        <f>+SUM(Q253:Q264)</f>
        <v>103451.16999999998</v>
      </c>
      <c r="R265" s="43"/>
      <c r="S265" s="293">
        <f t="shared" si="136"/>
        <v>-103451.16999999998</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163.44999999999999</v>
      </c>
      <c r="R266" s="297"/>
      <c r="S266" s="193">
        <f t="shared" si="136"/>
        <v>-163.44999999999999</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3388.8108287456089</v>
      </c>
      <c r="G267" s="296"/>
      <c r="H267" s="172"/>
      <c r="I267" s="173">
        <f>+SUMPRODUCT(('Budget révisé'!$A$8:$A$500=$A267)*('Budget révisé'!$C$3:$AO$3=I$2),'Budget révisé'!$C$8:$AO$500)</f>
        <v>3388.8108287456089</v>
      </c>
      <c r="J267" s="297"/>
      <c r="K267" s="172"/>
      <c r="L267" s="174">
        <f>SUMIFS(BV_Data_An_Cour!$Q:$Q,BV_Data_An_Cour!$V:$V,$B267,BV_Data_An_Cour!$W:$W,$C267,BV_Data_An_Cour!$X:$X,$L$2)</f>
        <v>0</v>
      </c>
      <c r="M267" s="297"/>
      <c r="N267" s="298">
        <f t="shared" si="135"/>
        <v>-3388.8108287456089</v>
      </c>
      <c r="O267" s="297"/>
      <c r="P267" s="172"/>
      <c r="Q267" s="174">
        <f>SUMIFS(BV_Data_An_Prec!$P:$P,BV_Data_An_Prec!$U:$U,$B267,BV_Data_An_Prec!$V:$V,$C267,BV_Data_An_Prec!$W:$W,$L$2)</f>
        <v>3478.38</v>
      </c>
      <c r="R267" s="297"/>
      <c r="S267" s="193">
        <f t="shared" si="136"/>
        <v>-3478.38</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4179.34</v>
      </c>
      <c r="G268" s="303"/>
      <c r="H268" s="302"/>
      <c r="I268" s="171">
        <f>+SUMPRODUCT(('Budget révisé'!$A$8:$A$500=$A268)*('Budget révisé'!$C$3:$AO$3=I$2),'Budget révisé'!$C$8:$AO$500)</f>
        <v>4179.34</v>
      </c>
      <c r="J268" s="304"/>
      <c r="K268" s="302"/>
      <c r="L268" s="174">
        <f>SUMIFS(BV_Data_An_Cour!$Q:$Q,BV_Data_An_Cour!$V:$V,$B268,BV_Data_An_Cour!$W:$W,$C268,BV_Data_An_Cour!$X:$X,$L$2)</f>
        <v>0</v>
      </c>
      <c r="M268" s="304"/>
      <c r="N268" s="305">
        <f t="shared" si="135"/>
        <v>-4179.34</v>
      </c>
      <c r="O268" s="304"/>
      <c r="P268" s="302"/>
      <c r="Q268" s="174">
        <f>SUMIFS(BV_Data_An_Prec!$P:$P,BV_Data_An_Prec!$U:$U,$B268,BV_Data_An_Prec!$V:$V,$C268,BV_Data_An_Prec!$W:$W,$L$2)</f>
        <v>5869.53</v>
      </c>
      <c r="R268" s="304"/>
      <c r="S268" s="196">
        <f t="shared" si="136"/>
        <v>-5869.53</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14447.61850583333</v>
      </c>
      <c r="G269" s="296"/>
      <c r="H269" s="172"/>
      <c r="I269" s="173">
        <f>+SUMPRODUCT(('Budget révisé'!$A$8:$A$500=$A269)*('Budget révisé'!$C$3:$AO$3=I$2),'Budget révisé'!$C$8:$AO$500)</f>
        <v>14447.61850583333</v>
      </c>
      <c r="J269" s="297"/>
      <c r="K269" s="172"/>
      <c r="L269" s="175">
        <f>SUMIFS(BV_Data_An_Cour!$Q:$Q,BV_Data_An_Cour!$V:$V,$B269,BV_Data_An_Cour!$W:$W,$C269,BV_Data_An_Cour!$X:$X,$L$2)</f>
        <v>0</v>
      </c>
      <c r="M269" s="297"/>
      <c r="N269" s="298">
        <f t="shared" si="135"/>
        <v>-14447.61850583333</v>
      </c>
      <c r="O269" s="297"/>
      <c r="P269" s="172"/>
      <c r="Q269" s="175">
        <f>SUMIFS(BV_Data_An_Prec!$P:$P,BV_Data_An_Prec!$U:$U,$B269,BV_Data_An_Prec!$V:$V,$C269,BV_Data_An_Prec!$W:$W,$L$2)</f>
        <v>14892.03</v>
      </c>
      <c r="R269" s="297"/>
      <c r="S269" s="193">
        <f t="shared" si="136"/>
        <v>-14892.03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1906.0912062500001</v>
      </c>
      <c r="G270" s="296"/>
      <c r="H270" s="172"/>
      <c r="I270" s="173">
        <f>+SUMPRODUCT(('Budget révisé'!$A$8:$A$500=$A270)*('Budget révisé'!$C$3:$AO$3=I$2),'Budget révisé'!$C$8:$AO$500)</f>
        <v>1906.0912062500001</v>
      </c>
      <c r="J270" s="297"/>
      <c r="K270" s="172"/>
      <c r="L270" s="174">
        <f>SUMIFS(BV_Data_An_Cour!$Q:$Q,BV_Data_An_Cour!$V:$V,$B270,BV_Data_An_Cour!$W:$W,$C270,BV_Data_An_Cour!$X:$X,$L$2)</f>
        <v>0</v>
      </c>
      <c r="M270" s="297"/>
      <c r="N270" s="298">
        <f t="shared" si="135"/>
        <v>-1906.0912062500001</v>
      </c>
      <c r="O270" s="297"/>
      <c r="P270" s="172"/>
      <c r="Q270" s="174">
        <f>SUMIFS(BV_Data_An_Prec!$P:$P,BV_Data_An_Prec!$U:$U,$B270,BV_Data_An_Prec!$V:$V,$C270,BV_Data_An_Prec!$W:$W,$L$2)</f>
        <v>1166.21</v>
      </c>
      <c r="R270" s="297"/>
      <c r="S270" s="193">
        <f t="shared" si="136"/>
        <v>-1166.21</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9574.3550777777782</v>
      </c>
      <c r="G271" s="303"/>
      <c r="H271" s="302"/>
      <c r="I271" s="171">
        <f>+SUMPRODUCT(('Budget révisé'!$A$8:$A$500=$A271)*('Budget révisé'!$C$3:$AO$3=I$2),'Budget révisé'!$C$8:$AO$500)</f>
        <v>9574.3550777777782</v>
      </c>
      <c r="J271" s="304"/>
      <c r="K271" s="302"/>
      <c r="L271" s="174">
        <f>SUMIFS(BV_Data_An_Cour!$Q:$Q,BV_Data_An_Cour!$V:$V,$B271,BV_Data_An_Cour!$W:$W,$C271,BV_Data_An_Cour!$X:$X,$L$2)</f>
        <v>0</v>
      </c>
      <c r="M271" s="304"/>
      <c r="N271" s="305">
        <f t="shared" si="135"/>
        <v>-9574.3550777777782</v>
      </c>
      <c r="O271" s="304"/>
      <c r="P271" s="302"/>
      <c r="Q271" s="171">
        <f>SUMIFS(BV_Data_An_Prec!$P:$P,BV_Data_An_Prec!$U:$U,$B271,BV_Data_An_Prec!$V:$V,$C271,BV_Data_An_Prec!$W:$W,$L$2)</f>
        <v>6555.09</v>
      </c>
      <c r="R271" s="304"/>
      <c r="S271" s="196">
        <f t="shared" si="136"/>
        <v>-6555.09</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935.08321523554218</v>
      </c>
      <c r="G273" s="296"/>
      <c r="H273" s="172"/>
      <c r="I273" s="173">
        <f>+SUMPRODUCT(('Budget révisé'!$A$8:$A$500=$A273)*('Budget révisé'!$C$3:$AO$3=I$2),'Budget révisé'!$C$8:$AO$500)</f>
        <v>935.08321523554218</v>
      </c>
      <c r="J273" s="297"/>
      <c r="K273" s="172"/>
      <c r="L273" s="275">
        <f>SUMIFS(BV_Data_An_Cour!$Q:$Q,BV_Data_An_Cour!$V:$V,$B273,BV_Data_An_Cour!$W:$W,$C273,BV_Data_An_Cour!$X:$X,$L$2)</f>
        <v>0</v>
      </c>
      <c r="M273" s="297"/>
      <c r="N273" s="298">
        <f t="shared" si="135"/>
        <v>-935.08321523554218</v>
      </c>
      <c r="O273" s="297"/>
      <c r="P273" s="172"/>
      <c r="Q273" s="174">
        <f>SUMIFS(BV_Data_An_Prec!$P:$P,BV_Data_An_Prec!$U:$U,$B273,BV_Data_An_Prec!$V:$V,$C273,BV_Data_An_Prec!$W:$W,$L$2)</f>
        <v>195.9</v>
      </c>
      <c r="R273" s="297"/>
      <c r="S273" s="193">
        <f t="shared" si="136"/>
        <v>-195.9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496.8786393125651</v>
      </c>
      <c r="G274" s="296"/>
      <c r="H274" s="172"/>
      <c r="I274" s="173">
        <f>+SUMPRODUCT(('Budget révisé'!$A$8:$A$500=$A274)*('Budget révisé'!$C$3:$AO$3=I$2),'Budget révisé'!$C$8:$AO$500)</f>
        <v>496.8786393125651</v>
      </c>
      <c r="J274" s="297"/>
      <c r="K274" s="172"/>
      <c r="L274" s="275">
        <f>SUMIFS(BV_Data_An_Cour!$Q:$Q,BV_Data_An_Cour!$V:$V,$B274,BV_Data_An_Cour!$W:$W,$C274,BV_Data_An_Cour!$X:$X,$L$2)</f>
        <v>0</v>
      </c>
      <c r="M274" s="297"/>
      <c r="N274" s="298">
        <f t="shared" si="135"/>
        <v>-496.8786393125651</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1570.9547699999998</v>
      </c>
      <c r="G275" s="296"/>
      <c r="H275" s="172"/>
      <c r="I275" s="173">
        <f>+SUMPRODUCT(('Budget révisé'!$A$8:$A$500=$A275)*('Budget révisé'!$C$3:$AO$3=I$2),'Budget révisé'!$C$8:$AO$500)</f>
        <v>1570.9547699999998</v>
      </c>
      <c r="J275" s="297"/>
      <c r="K275" s="172"/>
      <c r="L275" s="961">
        <f>SUMIFS(BV_Data_An_Cour!$Q:$Q,BV_Data_An_Cour!$V:$V,$B275,BV_Data_An_Cour!$W:$W,$C275,BV_Data_An_Cour!$X:$X,$L$2)</f>
        <v>0</v>
      </c>
      <c r="M275" s="297"/>
      <c r="N275" s="298">
        <f t="shared" si="135"/>
        <v>-1570.9547699999998</v>
      </c>
      <c r="O275" s="297"/>
      <c r="P275" s="172"/>
      <c r="Q275" s="548">
        <f>SUMIFS(BV_Data_An_Prec!$P:$P,BV_Data_An_Prec!$U:$U,$B275,BV_Data_An_Prec!$V:$V,$C275,BV_Data_An_Prec!$W:$W,$L$2)</f>
        <v>1217.29</v>
      </c>
      <c r="R275" s="297"/>
      <c r="S275" s="193">
        <f t="shared" si="136"/>
        <v>-1217.29</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725.39901729166672</v>
      </c>
      <c r="G276" s="296"/>
      <c r="H276" s="172"/>
      <c r="I276" s="173">
        <f>+SUMPRODUCT(('Budget révisé'!$A$8:$A$500=$A276)*('Budget révisé'!$C$3:$AO$3=I$2),'Budget révisé'!$C$8:$AO$500)</f>
        <v>725.39901729166672</v>
      </c>
      <c r="J276" s="297"/>
      <c r="K276" s="172"/>
      <c r="L276" s="275">
        <f>SUMIFS(BV_Data_An_Cour!$Q:$Q,BV_Data_An_Cour!$V:$V,$B276,BV_Data_An_Cour!$W:$W,$C276,BV_Data_An_Cour!$X:$X,$L$2)</f>
        <v>0</v>
      </c>
      <c r="M276" s="297"/>
      <c r="N276" s="298">
        <f t="shared" si="135"/>
        <v>-725.39901729166672</v>
      </c>
      <c r="O276" s="297"/>
      <c r="P276" s="172"/>
      <c r="Q276" s="174">
        <f>SUMIFS(BV_Data_An_Prec!$P:$P,BV_Data_An_Prec!$U:$U,$B276,BV_Data_An_Prec!$V:$V,$C276,BV_Data_An_Prec!$W:$W,$L$2)</f>
        <v>658.35</v>
      </c>
      <c r="R276" s="297"/>
      <c r="S276" s="193">
        <f t="shared" si="136"/>
        <v>-658.35</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387.2067077083334</v>
      </c>
      <c r="G277" s="296"/>
      <c r="H277" s="172"/>
      <c r="I277" s="173">
        <f>+SUMPRODUCT(('Budget révisé'!$A$8:$A$500=$A277)*('Budget révisé'!$C$3:$AO$3=I$2),'Budget révisé'!$C$8:$AO$500)</f>
        <v>387.2067077083334</v>
      </c>
      <c r="J277" s="297"/>
      <c r="K277" s="172"/>
      <c r="L277" s="275">
        <f>SUMIFS(BV_Data_An_Cour!$Q:$Q,BV_Data_An_Cour!$V:$V,$B277,BV_Data_An_Cour!$W:$W,$C277,BV_Data_An_Cour!$X:$X,$L$2)</f>
        <v>0</v>
      </c>
      <c r="M277" s="297"/>
      <c r="N277" s="298">
        <f t="shared" si="135"/>
        <v>-387.2067077083334</v>
      </c>
      <c r="O277" s="297"/>
      <c r="P277" s="172"/>
      <c r="Q277" s="174">
        <f>SUMIFS(BV_Data_An_Prec!$P:$P,BV_Data_An_Prec!$U:$U,$B277,BV_Data_An_Prec!$V:$V,$C277,BV_Data_An_Prec!$W:$W,$L$2)</f>
        <v>421.35</v>
      </c>
      <c r="R277" s="297"/>
      <c r="S277" s="193">
        <f t="shared" si="136"/>
        <v>-421.35</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1867.8120839583335</v>
      </c>
      <c r="G278" s="296"/>
      <c r="H278" s="172"/>
      <c r="I278" s="173">
        <f>+SUMPRODUCT(('Budget révisé'!$A$8:$A$500=$A278)*('Budget révisé'!$C$3:$AO$3=I$2),'Budget révisé'!$C$8:$AO$500)</f>
        <v>1867.8120839583335</v>
      </c>
      <c r="J278" s="297"/>
      <c r="K278" s="172"/>
      <c r="L278" s="275">
        <f>SUMIFS(BV_Data_An_Cour!$Q:$Q,BV_Data_An_Cour!$V:$V,$B278,BV_Data_An_Cour!$W:$W,$C278,BV_Data_An_Cour!$X:$X,$L$2)</f>
        <v>0</v>
      </c>
      <c r="M278" s="297"/>
      <c r="N278" s="298">
        <f t="shared" si="135"/>
        <v>-1867.8120839583335</v>
      </c>
      <c r="O278" s="297"/>
      <c r="P278" s="172"/>
      <c r="Q278" s="174">
        <f>SUMIFS(BV_Data_An_Prec!$P:$P,BV_Data_An_Prec!$U:$U,$B278,BV_Data_An_Prec!$V:$V,$C278,BV_Data_An_Prec!$W:$W,$L$2)</f>
        <v>1884.9</v>
      </c>
      <c r="R278" s="297"/>
      <c r="S278" s="193">
        <f t="shared" si="136"/>
        <v>-1884.9</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2775.0228916666674</v>
      </c>
      <c r="G279" s="296"/>
      <c r="H279" s="172"/>
      <c r="I279" s="173">
        <f>+SUMPRODUCT(('Budget révisé'!$A$8:$A$500=$A279)*('Budget révisé'!$C$3:$AO$3=I$2),'Budget révisé'!$C$8:$AO$500)</f>
        <v>2775.0228916666674</v>
      </c>
      <c r="J279" s="297"/>
      <c r="K279" s="172"/>
      <c r="L279" s="275">
        <f>SUMIFS(BV_Data_An_Cour!$Q:$Q,BV_Data_An_Cour!$V:$V,$B279,BV_Data_An_Cour!$W:$W,$C279,BV_Data_An_Cour!$X:$X,$L$2)</f>
        <v>0</v>
      </c>
      <c r="M279" s="297"/>
      <c r="N279" s="298">
        <f t="shared" si="135"/>
        <v>-2775.0228916666674</v>
      </c>
      <c r="O279" s="297"/>
      <c r="P279" s="172"/>
      <c r="Q279" s="174">
        <f>SUMIFS(BV_Data_An_Prec!$P:$P,BV_Data_An_Prec!$U:$U,$B279,BV_Data_An_Prec!$V:$V,$C279,BV_Data_An_Prec!$W:$W,$L$2)</f>
        <v>138.19999999999999</v>
      </c>
      <c r="R279" s="297"/>
      <c r="S279" s="193">
        <f t="shared" si="136"/>
        <v>-138.19999999999999</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5697.2926352513787</v>
      </c>
      <c r="G280" s="296"/>
      <c r="H280" s="172"/>
      <c r="I280" s="173">
        <f>+SUMPRODUCT(('Budget révisé'!$A$8:$A$500=$A280)*('Budget révisé'!$C$3:$AO$3=I$2),'Budget révisé'!$C$8:$AO$500)</f>
        <v>5697.2926352513787</v>
      </c>
      <c r="J280" s="297"/>
      <c r="K280" s="172"/>
      <c r="L280" s="275">
        <f>AF447*W6</f>
        <v>0</v>
      </c>
      <c r="M280" s="297"/>
      <c r="N280" s="298">
        <f t="shared" si="135"/>
        <v>-5697.2926352513787</v>
      </c>
      <c r="O280" s="297"/>
      <c r="P280" s="172"/>
      <c r="Q280" s="174">
        <f>AL447*W6</f>
        <v>1960.018</v>
      </c>
      <c r="R280" s="297"/>
      <c r="S280" s="193">
        <f t="shared" si="136"/>
        <v>-1960.018</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47951.865579031204</v>
      </c>
      <c r="G284" s="42" t="s">
        <v>111</v>
      </c>
      <c r="H284" s="40" t="e">
        <f>I284/I$243</f>
        <v>#DIV/0!</v>
      </c>
      <c r="I284" s="41">
        <f>+SUM(I266:I283)</f>
        <v>47951.865579031204</v>
      </c>
      <c r="J284" s="42" t="s">
        <v>111</v>
      </c>
      <c r="K284" s="40">
        <f>IF(L261=0,0,L284/L$243)</f>
        <v>0</v>
      </c>
      <c r="L284" s="41">
        <f>+SUM(L266:L283)</f>
        <v>0</v>
      </c>
      <c r="M284" s="44"/>
      <c r="N284" s="41">
        <f>+SUM(N266:N283)</f>
        <v>-47951.865579031204</v>
      </c>
      <c r="O284" s="42" t="s">
        <v>111</v>
      </c>
      <c r="P284" s="40" t="e">
        <f>IF(Q261=0,0,Q284/Q$243)</f>
        <v>#DIV/0!</v>
      </c>
      <c r="Q284" s="41">
        <f>+SUM(Q266:Q283)</f>
        <v>38600.697999999989</v>
      </c>
      <c r="R284" s="44"/>
      <c r="S284" s="310">
        <f t="shared" si="136"/>
        <v>-38600.697999999989</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130530.25563338186</v>
      </c>
      <c r="G286" s="42" t="s">
        <v>111</v>
      </c>
      <c r="H286" s="40" t="e">
        <f>I286/I$243</f>
        <v>#DIV/0!</v>
      </c>
      <c r="I286" s="41">
        <f>I265+I284</f>
        <v>130530.25563338186</v>
      </c>
      <c r="J286" s="42" t="s">
        <v>111</v>
      </c>
      <c r="K286" s="40">
        <f>IF(L263=0,0,L286/L$243)</f>
        <v>0</v>
      </c>
      <c r="L286" s="41">
        <f>L265+L284</f>
        <v>0</v>
      </c>
      <c r="M286" s="44"/>
      <c r="N286" s="46">
        <f t="shared" ref="N286:N288" si="143">L286-I286</f>
        <v>-130530.25563338186</v>
      </c>
      <c r="O286" s="42" t="s">
        <v>111</v>
      </c>
      <c r="P286" s="40" t="e">
        <f>IF(Q263=0,0,Q286/Q$243)</f>
        <v>#DIV/0!</v>
      </c>
      <c r="Q286" s="41">
        <f>Q265+Q284</f>
        <v>142051.86799999996</v>
      </c>
      <c r="R286" s="44"/>
      <c r="S286" s="293">
        <f>L286-Q286</f>
        <v>-142051.86799999996</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85403.503257846023</v>
      </c>
      <c r="G288" s="338"/>
      <c r="H288" s="336"/>
      <c r="I288" s="337">
        <f>I249-I286</f>
        <v>85403.503257846023</v>
      </c>
      <c r="J288" s="339"/>
      <c r="K288" s="340"/>
      <c r="L288" s="337">
        <f>L249-L286</f>
        <v>0</v>
      </c>
      <c r="M288" s="339"/>
      <c r="N288" s="337">
        <f t="shared" si="143"/>
        <v>-85403.503257846023</v>
      </c>
      <c r="O288" s="339"/>
      <c r="P288" s="340"/>
      <c r="Q288" s="337">
        <f>Q249-Q286</f>
        <v>62739.502000000008</v>
      </c>
      <c r="R288" s="339"/>
      <c r="S288" s="341">
        <f>L288-Q288</f>
        <v>-62739.502000000008</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Novembre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904747.85602033488</v>
      </c>
      <c r="E294" s="204">
        <f>IF(D294=0,0,F294/D294)</f>
        <v>0.35811007851031484</v>
      </c>
      <c r="F294" s="193">
        <f>+SUMPRODUCT(('Budget original'!$A$8:$A$500=$A294)*('Budget original'!$C$3:$AO$3=F$2),'Budget original'!$C$8:$AO$500)</f>
        <v>323999.32575148117</v>
      </c>
      <c r="G294" s="191">
        <f>+SUMPRODUCT(('Budget révisé'!$A$8:$A$500=$A294)*('Budget révisé'!$C$3:$AO$3=G$2),'Budget révisé'!$C$8:$AO$500)</f>
        <v>904747.85602033488</v>
      </c>
      <c r="H294" s="204">
        <f>IF(G294=0,0,I294/G294)</f>
        <v>0.35811007851031484</v>
      </c>
      <c r="I294" s="193">
        <f>+SUMPRODUCT(('Budget révisé'!$A$8:$A$500=$A294)*('Budget révisé'!$C$3:$AO$3=I$2),'Budget révisé'!$C$8:$AO$500)</f>
        <v>323999.32575148117</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-323999.32575148117</v>
      </c>
      <c r="O294" s="173">
        <f>-SUMIFS(BV_Data_An_Prec!$P:$P,BV_Data_An_Prec!$X:$X,"Oui",BV_Data_An_Prec!$U:$U,$B294,BV_Data_An_Prec!$V:$V,$C294)</f>
        <v>728782.38</v>
      </c>
      <c r="P294" s="204">
        <f t="shared" ref="P294:P303" si="148">IF(O294&lt;=0,0,Q294/O294)</f>
        <v>0.3561987599096455</v>
      </c>
      <c r="Q294" s="174">
        <f>-SUMIFS(BV_Data_An_Prec!$P:$P,BV_Data_An_Prec!$U:$U,$B294,BV_Data_An_Prec!$V:$V,$C294,BV_Data_An_Prec!$W:$W,$L$2)</f>
        <v>259591.38000000003</v>
      </c>
      <c r="R294" s="318">
        <f>IF(O294=0,0,(J294-O294)/O294)</f>
        <v>-1</v>
      </c>
      <c r="S294" s="193">
        <f t="shared" ref="S294:S303" si="149">L294-Q294</f>
        <v>-259591.38000000003</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508267.30606249219</v>
      </c>
      <c r="E295" s="204">
        <f t="shared" ref="E295:E302" si="150">IF(D295=0,0,F295/D295)</f>
        <v>0.2571723304036081</v>
      </c>
      <c r="F295" s="193">
        <f>+SUMPRODUCT(('Budget original'!$A$8:$A$500=$A295)*('Budget original'!$C$3:$AO$3=F$2),'Budget original'!$C$8:$AO$500)</f>
        <v>130712.28756805504</v>
      </c>
      <c r="G295" s="191">
        <f>+SUMPRODUCT(('Budget révisé'!$A$8:$A$500=$A295)*('Budget révisé'!$C$3:$AO$3=G$2),'Budget révisé'!$C$8:$AO$500)</f>
        <v>508267.30606249219</v>
      </c>
      <c r="H295" s="204">
        <f t="shared" ref="H295:H302" si="151">IF(G295=0,0,I295/G295)</f>
        <v>0.2571723304036081</v>
      </c>
      <c r="I295" s="193">
        <f>+SUMPRODUCT(('Budget révisé'!$A$8:$A$500=$A295)*('Budget révisé'!$C$3:$AO$3=I$2),'Budget révisé'!$C$8:$AO$500)</f>
        <v>130712.28756805504</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-130712.28756805504</v>
      </c>
      <c r="O295" s="173">
        <f>-SUMIFS(BV_Data_An_Prec!$P:$P,BV_Data_An_Prec!$X:$X,"Oui",BV_Data_An_Prec!$U:$U,$B295,BV_Data_An_Prec!$V:$V,$C295)</f>
        <v>500329.03</v>
      </c>
      <c r="P295" s="204">
        <f t="shared" si="148"/>
        <v>0.24848696067066117</v>
      </c>
      <c r="Q295" s="174">
        <f>-SUMIFS(BV_Data_An_Prec!$P:$P,BV_Data_An_Prec!$U:$U,$B295,BV_Data_An_Prec!$V:$V,$C295,BV_Data_An_Prec!$W:$W,$L$2)</f>
        <v>124325.24000000006</v>
      </c>
      <c r="R295" s="318">
        <f t="shared" ref="R295:R302" si="152">IF(O295=0,0,(J295-O295)/O295)</f>
        <v>-1</v>
      </c>
      <c r="S295" s="193">
        <f t="shared" si="149"/>
        <v>-124325.24000000006</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885419.2668777341</v>
      </c>
      <c r="E296" s="204">
        <f t="shared" si="150"/>
        <v>0.24177651145507995</v>
      </c>
      <c r="F296" s="193">
        <f>+SUMPRODUCT(('Budget original'!$A$8:$A$500=$A296)*('Budget original'!$C$3:$AO$3=F$2),'Budget original'!$C$8:$AO$500)</f>
        <v>214073.58152081296</v>
      </c>
      <c r="G296" s="191">
        <f>+SUMPRODUCT(('Budget révisé'!$A$8:$A$500=$A296)*('Budget révisé'!$C$3:$AO$3=G$2),'Budget révisé'!$C$8:$AO$500)</f>
        <v>885419.2668777341</v>
      </c>
      <c r="H296" s="204">
        <f t="shared" si="151"/>
        <v>0.24177651145507995</v>
      </c>
      <c r="I296" s="193">
        <f>+SUMPRODUCT(('Budget révisé'!$A$8:$A$500=$A296)*('Budget révisé'!$C$3:$AO$3=I$2),'Budget révisé'!$C$8:$AO$500)</f>
        <v>214073.58152081296</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-214073.58152081296</v>
      </c>
      <c r="O296" s="173">
        <f>-SUMIFS(BV_Data_An_Prec!$P:$P,BV_Data_An_Prec!$X:$X,"Oui",BV_Data_An_Prec!$U:$U,$B296,BV_Data_An_Prec!$V:$V,$C296)</f>
        <v>759792.68</v>
      </c>
      <c r="P296" s="204">
        <f t="shared" si="148"/>
        <v>0.23764477436134288</v>
      </c>
      <c r="Q296" s="174">
        <f>-SUMIFS(BV_Data_An_Prec!$P:$P,BV_Data_An_Prec!$U:$U,$B296,BV_Data_An_Prec!$V:$V,$C296,BV_Data_An_Prec!$W:$W,$L$2)</f>
        <v>180560.76</v>
      </c>
      <c r="R296" s="318">
        <f t="shared" si="152"/>
        <v>-1</v>
      </c>
      <c r="S296" s="193">
        <f t="shared" si="149"/>
        <v>-180560.76</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625392.17243564595</v>
      </c>
      <c r="E297" s="204">
        <f t="shared" si="150"/>
        <v>0.32393223852119102</v>
      </c>
      <c r="F297" s="193">
        <f>+SUMPRODUCT(('Budget original'!$A$8:$A$500=$A297)*('Budget original'!$C$3:$AO$3=F$2),'Budget original'!$C$8:$AO$500)</f>
        <v>202584.68637070947</v>
      </c>
      <c r="G297" s="191">
        <f>+SUMPRODUCT(('Budget révisé'!$A$8:$A$500=$A297)*('Budget révisé'!$C$3:$AO$3=G$2),'Budget révisé'!$C$8:$AO$500)</f>
        <v>625392.17243564595</v>
      </c>
      <c r="H297" s="204">
        <f t="shared" si="151"/>
        <v>0.32393223852119102</v>
      </c>
      <c r="I297" s="193">
        <f>+SUMPRODUCT(('Budget révisé'!$A$8:$A$500=$A297)*('Budget révisé'!$C$3:$AO$3=I$2),'Budget révisé'!$C$8:$AO$500)</f>
        <v>202584.68637070947</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-202584.68637070947</v>
      </c>
      <c r="O297" s="173">
        <f>-SUMIFS(BV_Data_An_Prec!$P:$P,BV_Data_An_Prec!$X:$X,"Oui",BV_Data_An_Prec!$U:$U,$B297,BV_Data_An_Prec!$V:$V,$C297)</f>
        <v>581520.63</v>
      </c>
      <c r="P297" s="204">
        <f t="shared" si="148"/>
        <v>0.30811405607398656</v>
      </c>
      <c r="Q297" s="174">
        <f>-SUMIFS(BV_Data_An_Prec!$P:$P,BV_Data_An_Prec!$U:$U,$B297,BV_Data_An_Prec!$V:$V,$C297,BV_Data_An_Prec!$W:$W,$L$2)</f>
        <v>179174.68</v>
      </c>
      <c r="R297" s="318">
        <f t="shared" si="152"/>
        <v>-1</v>
      </c>
      <c r="S297" s="193">
        <f t="shared" si="149"/>
        <v>-179174.68</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194068.35946908579</v>
      </c>
      <c r="E298" s="204">
        <f t="shared" si="150"/>
        <v>0.28113730707120016</v>
      </c>
      <c r="F298" s="193">
        <f>+SUMPRODUCT(('Budget original'!$A$8:$A$500=$A298)*('Budget original'!$C$3:$AO$3=F$2),'Budget original'!$C$8:$AO$500)</f>
        <v>54559.855968864424</v>
      </c>
      <c r="G298" s="191">
        <f>+SUMPRODUCT(('Budget révisé'!$A$8:$A$500=$A298)*('Budget révisé'!$C$3:$AO$3=G$2),'Budget révisé'!$C$8:$AO$500)</f>
        <v>194068.35946908579</v>
      </c>
      <c r="H298" s="204">
        <f t="shared" si="151"/>
        <v>0.28113730707120016</v>
      </c>
      <c r="I298" s="193">
        <f>+SUMPRODUCT(('Budget révisé'!$A$8:$A$500=$A298)*('Budget révisé'!$C$3:$AO$3=I$2),'Budget révisé'!$C$8:$AO$500)</f>
        <v>54559.855968864424</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-54559.855968864424</v>
      </c>
      <c r="O298" s="173">
        <f>-SUMIFS(BV_Data_An_Prec!$P:$P,BV_Data_An_Prec!$X:$X,"Oui",BV_Data_An_Prec!$U:$U,$B298,BV_Data_An_Prec!$V:$V,$C298)</f>
        <v>181083.06</v>
      </c>
      <c r="P298" s="204">
        <f t="shared" si="148"/>
        <v>0.26638852910923866</v>
      </c>
      <c r="Q298" s="174">
        <f>-SUMIFS(BV_Data_An_Prec!$P:$P,BV_Data_An_Prec!$U:$U,$B298,BV_Data_An_Prec!$V:$V,$C298,BV_Data_An_Prec!$W:$W,$L$2)</f>
        <v>48238.450000000012</v>
      </c>
      <c r="R298" s="318">
        <f t="shared" si="152"/>
        <v>-1</v>
      </c>
      <c r="S298" s="193">
        <f t="shared" si="149"/>
        <v>-48238.450000000012</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580080.78348232945</v>
      </c>
      <c r="E299" s="204">
        <f t="shared" si="150"/>
        <v>0.18194830719212418</v>
      </c>
      <c r="F299" s="193">
        <f>+SUMPRODUCT(('Budget original'!$A$8:$A$500=$A299)*('Budget original'!$C$3:$AO$3=F$2),'Budget original'!$C$8:$AO$500)</f>
        <v>105544.71658929095</v>
      </c>
      <c r="G299" s="191">
        <f>+SUMPRODUCT(('Budget révisé'!$A$8:$A$500=$A299)*('Budget révisé'!$C$3:$AO$3=G$2),'Budget révisé'!$C$8:$AO$500)</f>
        <v>580080.78348232945</v>
      </c>
      <c r="H299" s="204">
        <f t="shared" si="151"/>
        <v>0.18194830719212418</v>
      </c>
      <c r="I299" s="193">
        <f>+SUMPRODUCT(('Budget révisé'!$A$8:$A$500=$A299)*('Budget révisé'!$C$3:$AO$3=I$2),'Budget révisé'!$C$8:$AO$500)</f>
        <v>105544.71658929095</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-105544.71658929095</v>
      </c>
      <c r="O299" s="173">
        <f>-SUMIFS(BV_Data_An_Prec!$P:$P,BV_Data_An_Prec!$X:$X,"Oui",BV_Data_An_Prec!$U:$U,$B299,BV_Data_An_Prec!$V:$V,$C299)</f>
        <v>555959.22</v>
      </c>
      <c r="P299" s="204">
        <f t="shared" si="148"/>
        <v>0.17731523545917627</v>
      </c>
      <c r="Q299" s="174">
        <f>-SUMIFS(BV_Data_An_Prec!$P:$P,BV_Data_An_Prec!$U:$U,$B299,BV_Data_An_Prec!$V:$V,$C299,BV_Data_An_Prec!$W:$W,$L$2)</f>
        <v>98580.039999999979</v>
      </c>
      <c r="R299" s="318">
        <f t="shared" si="152"/>
        <v>-1</v>
      </c>
      <c r="S299" s="193">
        <f t="shared" si="149"/>
        <v>-98580.039999999979</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61284.011264191715</v>
      </c>
      <c r="G301" s="191">
        <f>+SUMPRODUCT(('Budget révisé'!$A$8:$A$500=$A301)*('Budget révisé'!$C$3:$AO$3=G$2),'Budget révisé'!$C$8:$AO$500)</f>
        <v>0</v>
      </c>
      <c r="H301" s="204">
        <f t="shared" si="151"/>
        <v>0</v>
      </c>
      <c r="I301" s="193">
        <f>+SUMPRODUCT(('Budget révisé'!$A$8:$A$500=$A301)*('Budget révisé'!$C$3:$AO$3=I$2),'Budget révisé'!$C$8:$AO$500)</f>
        <v>61284.011264191715</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-61284.011264191715</v>
      </c>
      <c r="O301" s="173">
        <f>-SUMIFS(BV_Data_An_Prec!$P:$P,BV_Data_An_Prec!$X:$X,"Oui",BV_Data_An_Prec!$U:$U,$B301,BV_Data_An_Prec!$V:$V,$C301)</f>
        <v>0</v>
      </c>
      <c r="P301" s="204">
        <f t="shared" si="148"/>
        <v>0</v>
      </c>
      <c r="Q301" s="174">
        <f>-SUMIFS(BV_Data_An_Prec!$P:$P,BV_Data_An_Prec!$U:$U,$B301,BV_Data_An_Prec!$V:$V,$C301,BV_Data_An_Prec!$W:$W,$L$2)</f>
        <v>85751.069999999992</v>
      </c>
      <c r="R301" s="318">
        <f t="shared" si="152"/>
        <v>0</v>
      </c>
      <c r="S301" s="193">
        <f t="shared" si="149"/>
        <v>-85751.069999999992</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3697975.7443476226</v>
      </c>
      <c r="E303" s="322">
        <f>IF(D303&lt;=0,0,F303/D303)</f>
        <v>0.29550179357008854</v>
      </c>
      <c r="F303" s="194">
        <f>SUM(F294:F302)</f>
        <v>1092758.4650334057</v>
      </c>
      <c r="G303" s="192">
        <f>SUM(G294:G302)</f>
        <v>3697975.7443476226</v>
      </c>
      <c r="H303" s="322">
        <f>IF(G303&lt;=0,0,I303/G303)</f>
        <v>0.29550179357008854</v>
      </c>
      <c r="I303" s="194">
        <f>SUM(I294:I302)</f>
        <v>1092758.4650334057</v>
      </c>
      <c r="J303" s="192">
        <f>SUM(J294:J302)</f>
        <v>0</v>
      </c>
      <c r="K303" s="322">
        <f t="shared" si="145"/>
        <v>0</v>
      </c>
      <c r="L303" s="323">
        <f>SUM(L294:L302)</f>
        <v>0</v>
      </c>
      <c r="M303" s="324">
        <f>(+J303-G303)/G303</f>
        <v>-1</v>
      </c>
      <c r="N303" s="323">
        <f t="shared" si="147"/>
        <v>-1092758.4650334057</v>
      </c>
      <c r="O303" s="192">
        <f>SUM(O294:O302)</f>
        <v>3307467</v>
      </c>
      <c r="P303" s="322">
        <f t="shared" si="148"/>
        <v>0.29515687382519612</v>
      </c>
      <c r="Q303" s="323">
        <f>SUM(Q294:Q302)</f>
        <v>976221.62</v>
      </c>
      <c r="R303" s="324">
        <f>IF(O303=0,0,(J303-O303)/O303)</f>
        <v>-1</v>
      </c>
      <c r="S303" s="194">
        <f t="shared" si="149"/>
        <v>-976221.62</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476200.09204043588</v>
      </c>
      <c r="E306" s="204">
        <f t="shared" ref="E306:E307" si="162">IF(D306=0,0,F306/D306)</f>
        <v>0.1816444838198383</v>
      </c>
      <c r="F306" s="195">
        <f>+SUMPRODUCT(('Budget original'!$A$8:$A$500=$A306)*('Budget original'!$C$3:$AO$3=F$2),'Budget original'!$C$8:$AO$500)</f>
        <v>86499.119913644463</v>
      </c>
      <c r="G306" s="191">
        <f>+SUMPRODUCT(('Budget révisé'!$A$8:$A$500=$A306)*('Budget révisé'!$C$3:$AO$3=G$2),'Budget révisé'!$C$8:$AO$500)</f>
        <v>476200.09204043588</v>
      </c>
      <c r="H306" s="204">
        <f t="shared" ref="H306:H307" si="163">IF(G306=0,0,I306/G306)</f>
        <v>0.1816444838198383</v>
      </c>
      <c r="I306" s="195">
        <f>+SUMPRODUCT(('Budget révisé'!$A$8:$A$500=$A306)*('Budget révisé'!$C$3:$AO$3=I$2),'Budget révisé'!$C$8:$AO$500)</f>
        <v>86499.119913644463</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-86499.119913644463</v>
      </c>
      <c r="O306" s="173">
        <f>-SUMIFS(BV_Data_An_Prec!$P:$P,BV_Data_An_Prec!$X:$X,"Oui",BV_Data_An_Prec!$U:$U,$B306,BV_Data_An_Prec!$V:$V,$C306)</f>
        <v>476444.05</v>
      </c>
      <c r="P306" s="204">
        <f t="shared" ref="P306:P308" si="167">IF(O306&lt;=0,0,Q306/O306)</f>
        <v>0.17033267599836752</v>
      </c>
      <c r="Q306" s="174">
        <f>-SUMIFS(BV_Data_An_Prec!$P:$P,BV_Data_An_Prec!$U:$U,$B306,BV_Data_An_Prec!$V:$V,$C306,BV_Data_An_Prec!$W:$W,$L$2)</f>
        <v>81153.990000000005</v>
      </c>
      <c r="R306" s="318">
        <f t="shared" ref="R306:R307" si="168">IF(O306=0,0,(J306-O306)/O306)</f>
        <v>-1</v>
      </c>
      <c r="S306" s="193">
        <f t="shared" ref="S306:S308" si="169">L306-Q306</f>
        <v>-81153.990000000005</v>
      </c>
      <c r="T306" s="216"/>
      <c r="U306" s="216" t="e">
        <f>J306/(J96+J27)</f>
        <v>#DIV/0!</v>
      </c>
      <c r="V306" s="216">
        <f>G306/(G96+G27)</f>
        <v>387.41581091100483</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213444.52442519832</v>
      </c>
      <c r="E307" s="204">
        <f t="shared" si="162"/>
        <v>0.29130399895825637</v>
      </c>
      <c r="F307" s="196">
        <f>+SUMPRODUCT(('Budget original'!$A$8:$A$500=$A307)*('Budget original'!$C$3:$AO$3=F$2),'Budget original'!$C$8:$AO$500)</f>
        <v>62177.243520803495</v>
      </c>
      <c r="G307" s="191">
        <f>+SUMPRODUCT(('Budget révisé'!$A$8:$A$500=$A307)*('Budget révisé'!$C$3:$AO$3=G$2),'Budget révisé'!$C$8:$AO$500)</f>
        <v>213444.52442519832</v>
      </c>
      <c r="H307" s="204">
        <f t="shared" si="163"/>
        <v>0.29130399895825637</v>
      </c>
      <c r="I307" s="196">
        <f>+SUMPRODUCT(('Budget révisé'!$A$8:$A$500=$A307)*('Budget révisé'!$C$3:$AO$3=I$2),'Budget révisé'!$C$8:$AO$500)</f>
        <v>62177.243520803495</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-62177.243520803495</v>
      </c>
      <c r="O307" s="173">
        <f>-SUMIFS(BV_Data_An_Prec!$P:$P,BV_Data_An_Prec!$X:$X,"Oui",BV_Data_An_Prec!$U:$U,$B307,BV_Data_An_Prec!$V:$V,$C307)</f>
        <v>204545.73</v>
      </c>
      <c r="P307" s="204">
        <f t="shared" si="167"/>
        <v>0.28000613848062239</v>
      </c>
      <c r="Q307" s="174">
        <f>-SUMIFS(BV_Data_An_Prec!$P:$P,BV_Data_An_Prec!$U:$U,$B307,BV_Data_An_Prec!$V:$V,$C307,BV_Data_An_Prec!$W:$W,$L$2)</f>
        <v>57274.06</v>
      </c>
      <c r="R307" s="318">
        <f t="shared" si="168"/>
        <v>-1</v>
      </c>
      <c r="S307" s="193">
        <f t="shared" si="169"/>
        <v>-57274.06</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4387620.3608132564</v>
      </c>
      <c r="E308" s="322">
        <f>IF(D308&lt;=0,0,F308/D308)</f>
        <v>0.28294034724502704</v>
      </c>
      <c r="F308" s="323">
        <f t="shared" ref="F308" si="170">F303+F306+F307</f>
        <v>1241434.8284678536</v>
      </c>
      <c r="G308" s="325">
        <f>G303+G306+G307</f>
        <v>4387620.3608132564</v>
      </c>
      <c r="H308" s="322">
        <f>IF(G308&lt;=0,0,I308/G308)</f>
        <v>0.28294034724502704</v>
      </c>
      <c r="I308" s="323">
        <f t="shared" ref="I308" si="171">I303+I306+I307</f>
        <v>1241434.8284678536</v>
      </c>
      <c r="J308" s="325">
        <f t="shared" ref="J308" si="172">J303+J306+J307</f>
        <v>0</v>
      </c>
      <c r="K308" s="322">
        <f t="shared" si="164"/>
        <v>0</v>
      </c>
      <c r="L308" s="323">
        <f>L303+L306+L307</f>
        <v>0</v>
      </c>
      <c r="M308" s="324">
        <f t="shared" si="165"/>
        <v>-1</v>
      </c>
      <c r="N308" s="323">
        <f t="shared" si="166"/>
        <v>-1241434.8284678536</v>
      </c>
      <c r="O308" s="325">
        <f t="shared" ref="O308" si="173">O303+O306+O307</f>
        <v>3988456.78</v>
      </c>
      <c r="P308" s="322">
        <f t="shared" si="167"/>
        <v>0.27946891027862669</v>
      </c>
      <c r="Q308" s="323">
        <f>Q303+Q306+Q307</f>
        <v>1114649.6700000002</v>
      </c>
      <c r="R308" s="324">
        <f>IF(O308=0,0,(J308-O308)/O308)</f>
        <v>-1</v>
      </c>
      <c r="S308" s="194">
        <f t="shared" si="169"/>
        <v>-1114649.6700000002</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4387620.3608132564</v>
      </c>
      <c r="E313" s="71">
        <f>IF(D313&lt;=0,0,F313/D313)</f>
        <v>0.28294034724502704</v>
      </c>
      <c r="F313" s="28">
        <f t="shared" ref="F313" si="176">F308+F311</f>
        <v>1241434.8284678536</v>
      </c>
      <c r="G313" s="29">
        <f>G308+G311</f>
        <v>4387620.3608132564</v>
      </c>
      <c r="H313" s="71">
        <f>IF(G313&lt;=0,0,I313/G313)</f>
        <v>0.28294034724502704</v>
      </c>
      <c r="I313" s="28">
        <f t="shared" ref="I313" si="177">I308+I311</f>
        <v>1241434.8284678536</v>
      </c>
      <c r="J313" s="29">
        <f t="shared" ref="J313" si="178">J308+J311</f>
        <v>0</v>
      </c>
      <c r="K313" s="71">
        <f>IF(J313&lt;=0,0,L313/J313)</f>
        <v>0</v>
      </c>
      <c r="L313" s="28">
        <f>L308+L311</f>
        <v>0</v>
      </c>
      <c r="M313" s="72">
        <f>(+J313-G313)/G313</f>
        <v>-1</v>
      </c>
      <c r="N313" s="73">
        <f>L313-I313</f>
        <v>-1241434.8284678536</v>
      </c>
      <c r="O313" s="29">
        <f t="shared" ref="O313" si="179">O308+O311</f>
        <v>3988456.78</v>
      </c>
      <c r="P313" s="71">
        <f>IF(O313&lt;=0,0,Q313/O313)</f>
        <v>0.27946891027862669</v>
      </c>
      <c r="Q313" s="28">
        <f>Q308+Q311</f>
        <v>1114649.6700000002</v>
      </c>
      <c r="R313" s="72">
        <f>IF(O313=0,0,(J313-O313)/O313)</f>
        <v>-1</v>
      </c>
      <c r="S313" s="264">
        <f>L313-Q313</f>
        <v>-1114649.6700000002</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28196.890421455933</v>
      </c>
      <c r="G317" s="221"/>
      <c r="H317" s="227"/>
      <c r="I317" s="225">
        <f>+SUMPRODUCT(('Budget révisé'!$A$8:$A$500=$A317)*('Budget révisé'!$C$3:$AO$3=I$2),'Budget révisé'!$C$8:$AO$500)</f>
        <v>28196.890421455933</v>
      </c>
      <c r="J317" s="221"/>
      <c r="K317" s="227"/>
      <c r="L317" s="275">
        <f>SUMIFS(BV_Data_An_Cour!$Q:$Q,BV_Data_An_Cour!$V:$V,$B317,BV_Data_An_Cour!$W:$W,$C317,BV_Data_An_Cour!$X:$X,$L$2)</f>
        <v>0</v>
      </c>
      <c r="M317" s="221"/>
      <c r="N317" s="226">
        <f t="shared" ref="N317:N342" si="180">L317-I317</f>
        <v>-28196.890421455933</v>
      </c>
      <c r="O317" s="221"/>
      <c r="P317" s="227"/>
      <c r="Q317" s="275">
        <f>SUMIFS(BV_Data_An_Prec!$P:$P,BV_Data_An_Prec!$U:$U,$B317,BV_Data_An_Prec!$V:$V,$C317,BV_Data_An_Prec!$W:$W,$L$2)</f>
        <v>62410.41</v>
      </c>
      <c r="R317" s="221"/>
      <c r="S317" s="506">
        <f>L317-Q317</f>
        <v>-62410.41</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47243.830523923381</v>
      </c>
      <c r="G318" s="277"/>
      <c r="H318" s="227"/>
      <c r="I318" s="238">
        <f>+SUMPRODUCT(('Budget révisé'!$A$8:$A$500=$A318)*('Budget révisé'!$C$3:$AO$3=I$2),'Budget révisé'!$C$8:$AO$500)</f>
        <v>47243.830523923381</v>
      </c>
      <c r="J318" s="221"/>
      <c r="K318" s="227"/>
      <c r="L318" s="275">
        <f>SUMIFS(BV_Data_An_Cour!$Q:$Q,BV_Data_An_Cour!$V:$V,$B318,BV_Data_An_Cour!$W:$W,$C318,BV_Data_An_Cour!$X:$X,$L$2)</f>
        <v>0</v>
      </c>
      <c r="M318" s="221"/>
      <c r="N318" s="226">
        <f t="shared" si="180"/>
        <v>-47243.830523923381</v>
      </c>
      <c r="O318" s="221"/>
      <c r="P318" s="227"/>
      <c r="Q318" s="275">
        <f>SUMIFS(BV_Data_An_Prec!$P:$P,BV_Data_An_Prec!$U:$U,$B318,BV_Data_An_Prec!$V:$V,$C318,BV_Data_An_Prec!$W:$W,$L$2)</f>
        <v>44913.48</v>
      </c>
      <c r="R318" s="221"/>
      <c r="S318" s="278">
        <f t="shared" ref="S318:S342" si="181">L318-Q318</f>
        <v>-44913.48</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265856.90882366284</v>
      </c>
      <c r="G319" s="281"/>
      <c r="H319" s="280"/>
      <c r="I319" s="225">
        <f>+SUMPRODUCT(('Budget révisé'!$A$8:$A$500=$A319)*('Budget révisé'!$C$3:$AO$3=I$2),'Budget révisé'!$C$8:$AO$500)</f>
        <v>265856.90882366284</v>
      </c>
      <c r="J319" s="282"/>
      <c r="K319" s="280"/>
      <c r="L319" s="239">
        <f>SUMIFS(BV_Data_An_Cour!$Q:$Q,BV_Data_An_Cour!$V:$V,$B319,BV_Data_An_Cour!$W:$W,$C319,BV_Data_An_Cour!$X:$X,$L$2)</f>
        <v>0</v>
      </c>
      <c r="M319" s="282"/>
      <c r="N319" s="283">
        <f t="shared" si="180"/>
        <v>-265856.90882366284</v>
      </c>
      <c r="O319" s="282"/>
      <c r="P319" s="280"/>
      <c r="Q319" s="239">
        <f>SUMIFS(BV_Data_An_Prec!$P:$P,BV_Data_An_Prec!$U:$U,$B319,BV_Data_An_Prec!$V:$V,$C319,BV_Data_An_Prec!$W:$W,$L$2)</f>
        <v>224148.49</v>
      </c>
      <c r="R319" s="282"/>
      <c r="S319" s="284">
        <f t="shared" si="181"/>
        <v>-224148.49</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42712.0011297077</v>
      </c>
      <c r="G324" s="277"/>
      <c r="H324" s="227"/>
      <c r="I324" s="238">
        <f>+SUMPRODUCT(('Budget révisé'!$A$8:$A$500=$A324)*('Budget révisé'!$C$3:$AO$3=I$2),'Budget révisé'!$C$8:$AO$500)</f>
        <v>42712.0011297077</v>
      </c>
      <c r="J324" s="221"/>
      <c r="K324" s="227"/>
      <c r="L324" s="275">
        <f>SUMIFS(BV_Data_An_Cour!$Q:$Q,BV_Data_An_Cour!$V:$V,$B324,BV_Data_An_Cour!$W:$W,$C324,BV_Data_An_Cour!$X:$X,$L$2)</f>
        <v>0</v>
      </c>
      <c r="M324" s="221"/>
      <c r="N324" s="226">
        <f t="shared" si="180"/>
        <v>-42712.0011297077</v>
      </c>
      <c r="O324" s="221"/>
      <c r="P324" s="227"/>
      <c r="Q324" s="275">
        <f>SUMIFS(BV_Data_An_Prec!$P:$P,BV_Data_An_Prec!$U:$U,$B324,BV_Data_An_Prec!$V:$V,$C324,BV_Data_An_Prec!$W:$W,$L$2)</f>
        <v>35041.730000000003</v>
      </c>
      <c r="R324" s="221"/>
      <c r="S324" s="278">
        <f t="shared" si="181"/>
        <v>-35041.730000000003</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38252.975236474304</v>
      </c>
      <c r="G325" s="281"/>
      <c r="H325" s="280"/>
      <c r="I325" s="225">
        <f>+SUMPRODUCT(('Budget révisé'!$A$8:$A$500=$A325)*('Budget révisé'!$C$3:$AO$3=I$2),'Budget révisé'!$C$8:$AO$500)</f>
        <v>38252.975236474304</v>
      </c>
      <c r="J325" s="282"/>
      <c r="K325" s="280"/>
      <c r="L325" s="239">
        <f>SUMIFS(BV_Data_An_Cour!$Q:$Q,BV_Data_An_Cour!$V:$V,$B325,BV_Data_An_Cour!$W:$W,$C325,BV_Data_An_Cour!$X:$X,$L$2)</f>
        <v>0</v>
      </c>
      <c r="M325" s="282"/>
      <c r="N325" s="283">
        <f t="shared" si="180"/>
        <v>-38252.975236474304</v>
      </c>
      <c r="O325" s="282"/>
      <c r="P325" s="280"/>
      <c r="Q325" s="239">
        <f>SUMIFS(BV_Data_An_Prec!$P:$P,BV_Data_An_Prec!$U:$U,$B325,BV_Data_An_Prec!$V:$V,$C325,BV_Data_An_Prec!$W:$W,$L$2)</f>
        <v>485.2</v>
      </c>
      <c r="R325" s="282"/>
      <c r="S325" s="284">
        <f t="shared" si="181"/>
        <v>-485.2</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30377.36268778842</v>
      </c>
      <c r="G326" s="277"/>
      <c r="H326" s="227"/>
      <c r="I326" s="225">
        <f>+SUMPRODUCT(('Budget révisé'!$A$8:$A$500=$A326)*('Budget révisé'!$C$3:$AO$3=I$2),'Budget révisé'!$C$8:$AO$500)</f>
        <v>30377.36268778842</v>
      </c>
      <c r="J326" s="221"/>
      <c r="K326" s="227"/>
      <c r="L326" s="275">
        <f>SUMIFS(BV_Data_An_Cour!$Q:$Q,BV_Data_An_Cour!$V:$V,$B326,BV_Data_An_Cour!$W:$W,$C326,BV_Data_An_Cour!$X:$X,$L$2)</f>
        <v>0</v>
      </c>
      <c r="M326" s="221"/>
      <c r="N326" s="226">
        <f t="shared" si="180"/>
        <v>-30377.36268778842</v>
      </c>
      <c r="O326" s="221"/>
      <c r="P326" s="227"/>
      <c r="Q326" s="275">
        <f>SUMIFS(BV_Data_An_Prec!$P:$P,BV_Data_An_Prec!$U:$U,$B326,BV_Data_An_Prec!$V:$V,$C326,BV_Data_An_Prec!$W:$W,$L$2)</f>
        <v>26203.82</v>
      </c>
      <c r="R326" s="221"/>
      <c r="S326" s="278">
        <f t="shared" si="181"/>
        <v>-26203.82</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12375.96257650639</v>
      </c>
      <c r="G327" s="277"/>
      <c r="H327" s="227"/>
      <c r="I327" s="225">
        <f>+SUMPRODUCT(('Budget révisé'!$A$8:$A$500=$A327)*('Budget révisé'!$C$3:$AO$3=I$2),'Budget révisé'!$C$8:$AO$500)</f>
        <v>12375.96257650639</v>
      </c>
      <c r="J327" s="221"/>
      <c r="K327" s="227"/>
      <c r="L327" s="275">
        <f>SUMIFS(BV_Data_An_Cour!$Q:$Q,BV_Data_An_Cour!$V:$V,$B327,BV_Data_An_Cour!$W:$W,$C327,BV_Data_An_Cour!$X:$X,$L$2)</f>
        <v>0</v>
      </c>
      <c r="M327" s="221"/>
      <c r="N327" s="226">
        <f t="shared" si="180"/>
        <v>-12375.96257650639</v>
      </c>
      <c r="O327" s="221"/>
      <c r="P327" s="227"/>
      <c r="Q327" s="275">
        <f>SUMIFS(BV_Data_An_Prec!$P:$P,BV_Data_An_Prec!$U:$U,$B327,BV_Data_An_Prec!$V:$V,$C327,BV_Data_An_Prec!$W:$W,$L$2)</f>
        <v>43748.76</v>
      </c>
      <c r="R327" s="221"/>
      <c r="S327" s="278">
        <f t="shared" si="181"/>
        <v>-43748.76</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0.37457941467086869</v>
      </c>
      <c r="F329" s="41">
        <f>+SUM(F317:F328)</f>
        <v>465015.93139951891</v>
      </c>
      <c r="G329" s="42" t="s">
        <v>111</v>
      </c>
      <c r="H329" s="40">
        <f>I329/I$313</f>
        <v>0.37457941467086869</v>
      </c>
      <c r="I329" s="41">
        <f>+SUM(I317:I328)</f>
        <v>465015.93139951891</v>
      </c>
      <c r="J329" s="42" t="s">
        <v>111</v>
      </c>
      <c r="K329" s="40" t="e">
        <f>L329/L$313</f>
        <v>#DIV/0!</v>
      </c>
      <c r="L329" s="41">
        <f>+SUM(L317:L328)</f>
        <v>0</v>
      </c>
      <c r="M329" s="43"/>
      <c r="N329" s="46">
        <f t="shared" si="180"/>
        <v>-465015.93139951891</v>
      </c>
      <c r="O329" s="42" t="s">
        <v>111</v>
      </c>
      <c r="P329" s="40">
        <f>Q329/Q$313</f>
        <v>0.39200827108305691</v>
      </c>
      <c r="Q329" s="41">
        <f>+SUM(Q317:Q328)</f>
        <v>436951.89</v>
      </c>
      <c r="R329" s="43"/>
      <c r="S329" s="293">
        <f t="shared" si="181"/>
        <v>-436951.89</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40980.362500000003</v>
      </c>
      <c r="G330" s="296"/>
      <c r="H330" s="172"/>
      <c r="I330" s="173">
        <f>+SUMPRODUCT(('Budget révisé'!$A$8:$A$500=$A330)*('Budget révisé'!$C$3:$AO$3=I$2),'Budget révisé'!$C$8:$AO$500)</f>
        <v>40980.362500000003</v>
      </c>
      <c r="J330" s="297"/>
      <c r="K330" s="172"/>
      <c r="L330" s="275">
        <f>SUMIFS(BV_Data_An_Cour!$Q:$Q,BV_Data_An_Cour!$V:$V,$B330,BV_Data_An_Cour!$W:$W,$C330,BV_Data_An_Cour!$X:$X,$L$2)</f>
        <v>0</v>
      </c>
      <c r="M330" s="297"/>
      <c r="N330" s="298">
        <f t="shared" si="180"/>
        <v>-40980.362500000003</v>
      </c>
      <c r="O330" s="297"/>
      <c r="P330" s="172"/>
      <c r="Q330" s="275">
        <f>SUMIFS(BV_Data_An_Prec!$P:$P,BV_Data_An_Prec!$U:$U,$B330,BV_Data_An_Prec!$V:$V,$C330,BV_Data_An_Prec!$W:$W,$L$2)</f>
        <v>38152.97</v>
      </c>
      <c r="R330" s="297"/>
      <c r="S330" s="193">
        <f t="shared" si="181"/>
        <v>-38152.97</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7585.7311196773207</v>
      </c>
      <c r="G331" s="296"/>
      <c r="H331" s="172"/>
      <c r="I331" s="173">
        <f>+SUMPRODUCT(('Budget révisé'!$A$8:$A$500=$A331)*('Budget révisé'!$C$3:$AO$3=I$2),'Budget révisé'!$C$8:$AO$500)</f>
        <v>7585.7311196773207</v>
      </c>
      <c r="J331" s="297"/>
      <c r="K331" s="172"/>
      <c r="L331" s="174">
        <f>SUMIFS(BV_Data_An_Cour!$Q:$Q,BV_Data_An_Cour!$V:$V,$B331,BV_Data_An_Cour!$W:$W,$C331,BV_Data_An_Cour!$X:$X,$L$2)</f>
        <v>0</v>
      </c>
      <c r="M331" s="297"/>
      <c r="N331" s="298">
        <f t="shared" si="180"/>
        <v>-7585.7311196773207</v>
      </c>
      <c r="O331" s="297"/>
      <c r="P331" s="172"/>
      <c r="Q331" s="174">
        <f>SUMIFS(BV_Data_An_Prec!$P:$P,BV_Data_An_Prec!$U:$U,$B331,BV_Data_An_Prec!$V:$V,$C331,BV_Data_An_Prec!$W:$W,$L$2)</f>
        <v>7117.73</v>
      </c>
      <c r="R331" s="297"/>
      <c r="S331" s="193">
        <f t="shared" si="181"/>
        <v>-7117.73</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4768.5</v>
      </c>
      <c r="G332" s="303"/>
      <c r="H332" s="302"/>
      <c r="I332" s="171">
        <f>+SUMPRODUCT(('Budget révisé'!$A$8:$A$500=$A332)*('Budget révisé'!$C$3:$AO$3=I$2),'Budget révisé'!$C$8:$AO$500)</f>
        <v>4768.5</v>
      </c>
      <c r="J332" s="304"/>
      <c r="K332" s="302"/>
      <c r="L332" s="174">
        <f>SUMIFS(BV_Data_An_Cour!$Q:$Q,BV_Data_An_Cour!$V:$V,$B332,BV_Data_An_Cour!$W:$W,$C332,BV_Data_An_Cour!$X:$X,$L$2)</f>
        <v>0</v>
      </c>
      <c r="M332" s="304"/>
      <c r="N332" s="305">
        <f t="shared" si="180"/>
        <v>-4768.5</v>
      </c>
      <c r="O332" s="304"/>
      <c r="P332" s="302"/>
      <c r="Q332" s="174">
        <f>SUMIFS(BV_Data_An_Prec!$P:$P,BV_Data_An_Prec!$U:$U,$B332,BV_Data_An_Prec!$V:$V,$C332,BV_Data_An_Prec!$W:$W,$L$2)</f>
        <v>3346.09</v>
      </c>
      <c r="R332" s="304"/>
      <c r="S332" s="196">
        <f t="shared" si="181"/>
        <v>-3346.09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38384.337520833345</v>
      </c>
      <c r="G333" s="296"/>
      <c r="H333" s="172"/>
      <c r="I333" s="173">
        <f>+SUMPRODUCT(('Budget révisé'!$A$8:$A$500=$A333)*('Budget révisé'!$C$3:$AO$3=I$2),'Budget révisé'!$C$8:$AO$500)</f>
        <v>38384.337520833345</v>
      </c>
      <c r="J333" s="297"/>
      <c r="K333" s="172"/>
      <c r="L333" s="175">
        <f>SUMIFS(BV_Data_An_Cour!$Q:$Q,BV_Data_An_Cour!$V:$V,$B333,BV_Data_An_Cour!$W:$W,$C333,BV_Data_An_Cour!$X:$X,$L$2)</f>
        <v>0</v>
      </c>
      <c r="M333" s="297"/>
      <c r="N333" s="298">
        <f t="shared" si="180"/>
        <v>-38384.337520833345</v>
      </c>
      <c r="O333" s="297"/>
      <c r="P333" s="172"/>
      <c r="Q333" s="175">
        <f>SUMIFS(BV_Data_An_Prec!$P:$P,BV_Data_An_Prec!$U:$U,$B333,BV_Data_An_Prec!$V:$V,$C333,BV_Data_An_Prec!$W:$W,$L$2)</f>
        <v>40797.89</v>
      </c>
      <c r="R333" s="297"/>
      <c r="S333" s="193">
        <f t="shared" si="181"/>
        <v>-40797.89</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6807.4685937500017</v>
      </c>
      <c r="G334" s="296"/>
      <c r="H334" s="172"/>
      <c r="I334" s="173">
        <f>+SUMPRODUCT(('Budget révisé'!$A$8:$A$500=$A334)*('Budget révisé'!$C$3:$AO$3=I$2),'Budget révisé'!$C$8:$AO$500)</f>
        <v>6807.4685937500017</v>
      </c>
      <c r="J334" s="297"/>
      <c r="K334" s="172"/>
      <c r="L334" s="174">
        <f>SUMIFS(BV_Data_An_Cour!$Q:$Q,BV_Data_An_Cour!$V:$V,$B334,BV_Data_An_Cour!$W:$W,$C334,BV_Data_An_Cour!$X:$X,$L$2)</f>
        <v>0</v>
      </c>
      <c r="M334" s="297"/>
      <c r="N334" s="298">
        <f t="shared" si="180"/>
        <v>-6807.4685937500017</v>
      </c>
      <c r="O334" s="297"/>
      <c r="P334" s="172"/>
      <c r="Q334" s="174">
        <f>SUMIFS(BV_Data_An_Prec!$P:$P,BV_Data_An_Prec!$U:$U,$B334,BV_Data_An_Prec!$V:$V,$C334,BV_Data_An_Prec!$W:$W,$L$2)</f>
        <v>4164.74</v>
      </c>
      <c r="R334" s="297"/>
      <c r="S334" s="193">
        <f t="shared" si="181"/>
        <v>-4164.74</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89422.571977777785</v>
      </c>
      <c r="G335" s="303"/>
      <c r="H335" s="302"/>
      <c r="I335" s="171">
        <f>+SUMPRODUCT(('Budget révisé'!$A$8:$A$500=$A335)*('Budget révisé'!$C$3:$AO$3=I$2),'Budget révisé'!$C$8:$AO$500)</f>
        <v>89422.571977777785</v>
      </c>
      <c r="J335" s="304"/>
      <c r="K335" s="302"/>
      <c r="L335" s="399">
        <f>SUMIFS(BV_Data_An_Cour!$Q:$Q,BV_Data_An_Cour!$V:$V,$B335,BV_Data_An_Cour!$W:$W,$C335,BV_Data_An_Cour!$X:$X,$L$2)</f>
        <v>0</v>
      </c>
      <c r="M335" s="304"/>
      <c r="N335" s="305">
        <f t="shared" si="180"/>
        <v>-89422.571977777785</v>
      </c>
      <c r="O335" s="304"/>
      <c r="P335" s="302"/>
      <c r="Q335" s="399">
        <f>SUMIFS(BV_Data_An_Prec!$P:$P,BV_Data_An_Prec!$U:$U,$B335,BV_Data_An_Prec!$V:$V,$C335,BV_Data_An_Prec!$W:$W,$L$2)</f>
        <v>67798.009999999995</v>
      </c>
      <c r="R335" s="304"/>
      <c r="S335" s="196">
        <f t="shared" si="181"/>
        <v>-67798.009999999995</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935.08321523554218</v>
      </c>
      <c r="G337" s="296"/>
      <c r="H337" s="172"/>
      <c r="I337" s="173">
        <f>+SUMPRODUCT(('Budget révisé'!$A$8:$A$500=$A337)*('Budget révisé'!$C$3:$AO$3=I$2),'Budget révisé'!$C$8:$AO$500)</f>
        <v>935.08321523554218</v>
      </c>
      <c r="J337" s="297"/>
      <c r="K337" s="172"/>
      <c r="L337" s="174">
        <f>SUMIFS(BV_Data_An_Cour!$Q:$Q,BV_Data_An_Cour!$V:$V,$B337,BV_Data_An_Cour!$W:$W,$C337,BV_Data_An_Cour!$X:$X,$L$2)</f>
        <v>0</v>
      </c>
      <c r="M337" s="297"/>
      <c r="N337" s="298">
        <f t="shared" si="180"/>
        <v>-935.08321523554218</v>
      </c>
      <c r="O337" s="297"/>
      <c r="P337" s="172"/>
      <c r="Q337" s="174">
        <f>SUMIFS(BV_Data_An_Prec!$P:$P,BV_Data_An_Prec!$U:$U,$B337,BV_Data_An_Prec!$V:$V,$C337,BV_Data_An_Prec!$W:$W,$L$2)</f>
        <v>1430.61</v>
      </c>
      <c r="R337" s="297"/>
      <c r="S337" s="193">
        <f t="shared" si="181"/>
        <v>-1430.61</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496.8786393125651</v>
      </c>
      <c r="G338" s="296"/>
      <c r="H338" s="172"/>
      <c r="I338" s="173">
        <f>+SUMPRODUCT(('Budget révisé'!$A$8:$A$500=$A338)*('Budget révisé'!$C$3:$AO$3=I$2),'Budget révisé'!$C$8:$AO$500)</f>
        <v>496.8786393125651</v>
      </c>
      <c r="J338" s="297"/>
      <c r="K338" s="172"/>
      <c r="L338" s="174">
        <f>SUMIFS(BV_Data_An_Cour!$Q:$Q,BV_Data_An_Cour!$V:$V,$B338,BV_Data_An_Cour!$W:$W,$C338,BV_Data_An_Cour!$X:$X,$L$2)</f>
        <v>0</v>
      </c>
      <c r="M338" s="297"/>
      <c r="N338" s="298">
        <f t="shared" si="180"/>
        <v>-496.8786393125651</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5610.5527500000017</v>
      </c>
      <c r="G339" s="296"/>
      <c r="H339" s="172"/>
      <c r="I339" s="173">
        <f>+SUMPRODUCT(('Budget révisé'!$A$8:$A$500=$A339)*('Budget révisé'!$C$3:$AO$3=I$2),'Budget révisé'!$C$8:$AO$500)</f>
        <v>5610.5527500000017</v>
      </c>
      <c r="J339" s="297"/>
      <c r="K339" s="172"/>
      <c r="L339" s="548">
        <f>SUMIFS(BV_Data_An_Cour!$Q:$Q,BV_Data_An_Cour!$V:$V,$B339,BV_Data_An_Cour!$W:$W,$C339,BV_Data_An_Cour!$X:$X,$L$2)</f>
        <v>0</v>
      </c>
      <c r="M339" s="297"/>
      <c r="N339" s="298">
        <f t="shared" si="180"/>
        <v>-5610.5527500000017</v>
      </c>
      <c r="O339" s="297"/>
      <c r="P339" s="172"/>
      <c r="Q339" s="548">
        <f>SUMIFS(BV_Data_An_Prec!$P:$P,BV_Data_An_Prec!$U:$U,$B339,BV_Data_An_Prec!$V:$V,$C339,BV_Data_An_Prec!$W:$W,$L$2)</f>
        <v>5111.4399999999996</v>
      </c>
      <c r="R339" s="297"/>
      <c r="S339" s="193">
        <f t="shared" si="181"/>
        <v>-5111.4399999999996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2590.7107760416666</v>
      </c>
      <c r="G340" s="296"/>
      <c r="H340" s="172"/>
      <c r="I340" s="173">
        <f>+SUMPRODUCT(('Budget révisé'!$A$8:$A$500=$A340)*('Budget révisé'!$C$3:$AO$3=I$2),'Budget révisé'!$C$8:$AO$500)</f>
        <v>2590.7107760416666</v>
      </c>
      <c r="J340" s="297"/>
      <c r="K340" s="172"/>
      <c r="L340" s="174">
        <f>SUMIFS(BV_Data_An_Cour!$Q:$Q,BV_Data_An_Cour!$V:$V,$B340,BV_Data_An_Cour!$W:$W,$C340,BV_Data_An_Cour!$X:$X,$L$2)</f>
        <v>0</v>
      </c>
      <c r="M340" s="297"/>
      <c r="N340" s="298">
        <f t="shared" si="180"/>
        <v>-2590.7107760416666</v>
      </c>
      <c r="O340" s="297"/>
      <c r="P340" s="172"/>
      <c r="Q340" s="174">
        <f>SUMIFS(BV_Data_An_Prec!$P:$P,BV_Data_An_Prec!$U:$U,$B340,BV_Data_An_Prec!$V:$V,$C340,BV_Data_An_Prec!$W:$W,$L$2)</f>
        <v>1621.51</v>
      </c>
      <c r="R340" s="297"/>
      <c r="S340" s="193">
        <f t="shared" si="181"/>
        <v>-1621.51</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1382.8810989583328</v>
      </c>
      <c r="G341" s="296"/>
      <c r="H341" s="172"/>
      <c r="I341" s="173">
        <f>+SUMPRODUCT(('Budget révisé'!$A$8:$A$500=$A341)*('Budget révisé'!$C$3:$AO$3=I$2),'Budget révisé'!$C$8:$AO$500)</f>
        <v>1382.8810989583328</v>
      </c>
      <c r="J341" s="297"/>
      <c r="K341" s="172"/>
      <c r="L341" s="275">
        <f>SUMIFS(BV_Data_An_Cour!$Q:$Q,BV_Data_An_Cour!$V:$V,$B341,BV_Data_An_Cour!$W:$W,$C341,BV_Data_An_Cour!$X:$X,$L$2)</f>
        <v>0</v>
      </c>
      <c r="M341" s="297"/>
      <c r="N341" s="298">
        <f t="shared" si="180"/>
        <v>-1382.8810989583328</v>
      </c>
      <c r="O341" s="297"/>
      <c r="P341" s="172"/>
      <c r="Q341" s="174">
        <f>SUMIFS(BV_Data_An_Prec!$P:$P,BV_Data_An_Prec!$U:$U,$B341,BV_Data_An_Prec!$V:$V,$C341,BV_Data_An_Prec!$W:$W,$L$2)</f>
        <v>334.58</v>
      </c>
      <c r="R341" s="297"/>
      <c r="S341" s="193">
        <f t="shared" si="181"/>
        <v>-334.58</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6670.7574427083318</v>
      </c>
      <c r="G342" s="296"/>
      <c r="H342" s="172"/>
      <c r="I342" s="173">
        <f>+SUMPRODUCT(('Budget révisé'!$A$8:$A$500=$A342)*('Budget révisé'!$C$3:$AO$3=I$2),'Budget révisé'!$C$8:$AO$500)</f>
        <v>6670.7574427083318</v>
      </c>
      <c r="J342" s="297"/>
      <c r="K342" s="172"/>
      <c r="L342" s="275">
        <f>SUMIFS(BV_Data_An_Cour!$Q:$Q,BV_Data_An_Cour!$V:$V,$B342,BV_Data_An_Cour!$W:$W,$C342,BV_Data_An_Cour!$X:$X,$L$2)</f>
        <v>0</v>
      </c>
      <c r="M342" s="297"/>
      <c r="N342" s="298">
        <f t="shared" si="180"/>
        <v>-6670.7574427083318</v>
      </c>
      <c r="O342" s="297"/>
      <c r="P342" s="172"/>
      <c r="Q342" s="174">
        <f>SUMIFS(BV_Data_An_Prec!$P:$P,BV_Data_An_Prec!$U:$U,$B342,BV_Data_An_Prec!$V:$V,$C342,BV_Data_An_Prec!$W:$W,$L$2)</f>
        <v>6350.5</v>
      </c>
      <c r="R342" s="297"/>
      <c r="S342" s="193">
        <f t="shared" si="181"/>
        <v>-6350.5</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9910.7960416666683</v>
      </c>
      <c r="G343" s="296"/>
      <c r="H343" s="172"/>
      <c r="I343" s="173">
        <f>+SUMPRODUCT(('Budget révisé'!$A$8:$A$500=$A343)*('Budget révisé'!$C$3:$AO$3=I$2),'Budget révisé'!$C$8:$AO$500)</f>
        <v>9910.7960416666683</v>
      </c>
      <c r="J343" s="297"/>
      <c r="K343" s="172"/>
      <c r="L343" s="275">
        <f>SUMIFS(BV_Data_An_Cour!$Q:$Q,BV_Data_An_Cour!$V:$V,$B343,BV_Data_An_Cour!$W:$W,$C343,BV_Data_An_Cour!$X:$X,$L$2)</f>
        <v>0</v>
      </c>
      <c r="M343" s="297"/>
      <c r="N343" s="298">
        <f t="shared" ref="N343:N347" si="189">L343-I343</f>
        <v>-9910.7960416666683</v>
      </c>
      <c r="O343" s="297"/>
      <c r="P343" s="172"/>
      <c r="Q343" s="174">
        <f>SUMIFS(BV_Data_An_Prec!$P:$P,BV_Data_An_Prec!$U:$U,$B343,BV_Data_An_Prec!$V:$V,$C343,BV_Data_An_Prec!$W:$W,$L$2)</f>
        <v>493.54</v>
      </c>
      <c r="R343" s="297"/>
      <c r="S343" s="193">
        <f t="shared" ref="S343:S347" si="190">L343-Q343</f>
        <v>-493.54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20347.473697326346</v>
      </c>
      <c r="G344" s="296"/>
      <c r="H344" s="172"/>
      <c r="I344" s="173">
        <f>+SUMPRODUCT(('Budget révisé'!$A$8:$A$500=$A344)*('Budget révisé'!$C$3:$AO$3=I$2),'Budget révisé'!$C$8:$AO$500)</f>
        <v>20347.473697326346</v>
      </c>
      <c r="J344" s="297"/>
      <c r="K344" s="172"/>
      <c r="L344" s="961">
        <f>AF447*W7</f>
        <v>0</v>
      </c>
      <c r="M344" s="297"/>
      <c r="N344" s="298">
        <f t="shared" si="189"/>
        <v>-20347.473697326346</v>
      </c>
      <c r="O344" s="297"/>
      <c r="P344" s="172"/>
      <c r="Q344" s="174">
        <f>AL447*W7</f>
        <v>15680.144</v>
      </c>
      <c r="R344" s="297"/>
      <c r="S344" s="193">
        <f t="shared" si="190"/>
        <v>-15680.144</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0.19001730897498845</v>
      </c>
      <c r="F348" s="41">
        <f>+SUM(F330:F347)</f>
        <v>235894.10537328792</v>
      </c>
      <c r="G348" s="42" t="s">
        <v>111</v>
      </c>
      <c r="H348" s="40">
        <f>I348/I$313</f>
        <v>0.19001730897498845</v>
      </c>
      <c r="I348" s="41">
        <f>+SUM(I330:I347)</f>
        <v>235894.10537328792</v>
      </c>
      <c r="J348" s="42" t="s">
        <v>111</v>
      </c>
      <c r="K348" s="40" t="e">
        <f>L348/L$313</f>
        <v>#DIV/0!</v>
      </c>
      <c r="L348" s="41">
        <f>+SUM(L330:L347)</f>
        <v>0</v>
      </c>
      <c r="M348" s="44"/>
      <c r="N348" s="41">
        <f>+SUM(N330:N347)</f>
        <v>-235894.10537328792</v>
      </c>
      <c r="O348" s="42" t="s">
        <v>111</v>
      </c>
      <c r="P348" s="40">
        <f>Q348/Q$313</f>
        <v>0.17261006680242408</v>
      </c>
      <c r="Q348" s="41">
        <f>+SUM(Q330:Q347)</f>
        <v>192399.75399999999</v>
      </c>
      <c r="R348" s="44"/>
      <c r="S348" s="310">
        <f>+SUM(S330:S347)</f>
        <v>-192399.75399999999</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0.56459672364585722</v>
      </c>
      <c r="F350" s="41">
        <f>F329+F348</f>
        <v>700910.0367728069</v>
      </c>
      <c r="G350" s="42" t="s">
        <v>111</v>
      </c>
      <c r="H350" s="40">
        <f>I350/I$313</f>
        <v>0.56459672364585722</v>
      </c>
      <c r="I350" s="41">
        <f>I329+I348</f>
        <v>700910.0367728069</v>
      </c>
      <c r="J350" s="42" t="s">
        <v>111</v>
      </c>
      <c r="K350" s="40" t="e">
        <f>L350/L$313</f>
        <v>#DIV/0!</v>
      </c>
      <c r="L350" s="41">
        <f>L329+L348</f>
        <v>0</v>
      </c>
      <c r="M350" s="44"/>
      <c r="N350" s="46">
        <f t="shared" ref="N350:N352" si="192">L350-I350</f>
        <v>-700910.0367728069</v>
      </c>
      <c r="O350" s="42" t="s">
        <v>111</v>
      </c>
      <c r="P350" s="40">
        <f>Q350/Q$313</f>
        <v>0.56461833788548099</v>
      </c>
      <c r="Q350" s="41">
        <f>Q329+Q348</f>
        <v>629351.64399999997</v>
      </c>
      <c r="R350" s="44"/>
      <c r="S350" s="293">
        <f>L350-Q350</f>
        <v>-629351.64399999997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540524.7916950467</v>
      </c>
      <c r="G352" s="338"/>
      <c r="H352" s="336"/>
      <c r="I352" s="337">
        <f>I313-I350</f>
        <v>540524.7916950467</v>
      </c>
      <c r="J352" s="339"/>
      <c r="K352" s="340"/>
      <c r="L352" s="337">
        <f>L313-L350</f>
        <v>0</v>
      </c>
      <c r="M352" s="339"/>
      <c r="N352" s="337">
        <f t="shared" si="192"/>
        <v>-540524.7916950467</v>
      </c>
      <c r="O352" s="339"/>
      <c r="P352" s="340"/>
      <c r="Q352" s="337">
        <f>Q313-Q350</f>
        <v>485298.02600000019</v>
      </c>
      <c r="R352" s="339"/>
      <c r="S352" s="341">
        <f>L352-Q352</f>
        <v>-485298.02600000019</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Novembre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8" t="s">
        <v>77</v>
      </c>
      <c r="E357" s="1418"/>
      <c r="F357" s="1428"/>
      <c r="G357" s="1421" t="s">
        <v>145</v>
      </c>
      <c r="H357" s="1418"/>
      <c r="I357" s="1428"/>
      <c r="J357" s="1421" t="s">
        <v>79</v>
      </c>
      <c r="K357" s="1418"/>
      <c r="L357" s="1428"/>
      <c r="M357" s="1421" t="s">
        <v>80</v>
      </c>
      <c r="N357" s="1428"/>
      <c r="O357" s="1421" t="s">
        <v>81</v>
      </c>
      <c r="P357" s="1418"/>
      <c r="Q357" s="1428"/>
      <c r="R357" s="1421" t="s">
        <v>82</v>
      </c>
      <c r="S357" s="1429"/>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Novembre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53334258.439666092</v>
      </c>
      <c r="AA405" s="439"/>
      <c r="AB405" s="439"/>
      <c r="AC405" s="440">
        <f>I5+I93+H193+H249+G313+G361</f>
        <v>53334258.439666092</v>
      </c>
      <c r="AD405" s="441"/>
      <c r="AE405" s="442"/>
      <c r="AF405" s="442">
        <f>L5+L93+K193+K249+J313+J361</f>
        <v>0</v>
      </c>
      <c r="AG405" s="441"/>
      <c r="AH405" s="442"/>
      <c r="AI405" s="443"/>
      <c r="AJ405" s="441"/>
      <c r="AK405" s="442"/>
      <c r="AL405" s="442">
        <f>Q5+Q93+P193+P249+O313+O361</f>
        <v>55359102.909999996</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7171200.0950305313</v>
      </c>
      <c r="AA406" s="81"/>
      <c r="AB406" s="81"/>
      <c r="AC406" s="82">
        <f>I27+I107+I193+I249+I313+I361</f>
        <v>7171200.0950305313</v>
      </c>
      <c r="AD406" s="83"/>
      <c r="AE406" s="84"/>
      <c r="AF406" s="84">
        <f>L27+L107+L193+L249+L313+L361</f>
        <v>0</v>
      </c>
      <c r="AG406" s="83"/>
      <c r="AH406" s="84">
        <f>AF406-AC406</f>
        <v>-7171200.0950305313</v>
      </c>
      <c r="AI406" s="85">
        <f>AH406/AC406</f>
        <v>-1</v>
      </c>
      <c r="AJ406" s="83"/>
      <c r="AK406" s="84"/>
      <c r="AL406" s="84">
        <f>Q27+Q107+Q193+Q249+Q313+Q361</f>
        <v>6653969.5999999996</v>
      </c>
      <c r="AM406" s="86"/>
      <c r="AN406" s="84">
        <f>AF406-AL406</f>
        <v>-6653969.5999999996</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614.11321180917321</v>
      </c>
      <c r="Z408" s="87">
        <f t="shared" ref="Z408:Z417" si="201">+SUMIF($C:$C,$V408,F:F)</f>
        <v>706936.93739086436</v>
      </c>
      <c r="AA408" s="449"/>
      <c r="AB408" s="455">
        <f t="shared" ref="AB408:AB414" si="202">IF(AC408=0,0,AC408/(G$13+G$96))</f>
        <v>614.11321180917321</v>
      </c>
      <c r="AC408" s="87">
        <f t="shared" ref="AC408:AC417" si="203">+SUMIF($C:$C,$V408,I:I)</f>
        <v>706936.93739086436</v>
      </c>
      <c r="AD408" s="456"/>
      <c r="AE408" s="455">
        <f t="shared" ref="AE408:AE413" si="204">IF(AF408=0,0,AF408/(J$13+J$96))</f>
        <v>0</v>
      </c>
      <c r="AF408" s="87">
        <f t="shared" ref="AF408:AF417" si="205">+SUMIF($C:$C,$V408,L:L)</f>
        <v>0</v>
      </c>
      <c r="AG408" s="450">
        <f t="shared" ref="AG408:AH413" si="206">AE408-AB408</f>
        <v>-614.11321180917321</v>
      </c>
      <c r="AH408" s="451">
        <f t="shared" si="206"/>
        <v>-706936.93739086436</v>
      </c>
      <c r="AI408" s="452">
        <f>IF(AC408=0,0,AH408/AC408)</f>
        <v>-1</v>
      </c>
      <c r="AJ408" s="456"/>
      <c r="AK408" s="451">
        <f t="shared" ref="AK408:AK414" si="207">AL408/(O$13+O$96)</f>
        <v>643.28051087984863</v>
      </c>
      <c r="AL408" s="87">
        <f t="shared" ref="AL408:AL417" si="208">+SUMIF($C:$C,$V408,Q:Q)</f>
        <v>679947.5</v>
      </c>
      <c r="AM408" s="453">
        <f t="shared" ref="AM408:AM413" si="209">AE408-Y408</f>
        <v>-614.11321180917321</v>
      </c>
      <c r="AN408" s="451">
        <f t="shared" ref="AN408:AN430" si="210">AF408-AL408</f>
        <v>-679947.5</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384.64828013490671</v>
      </c>
      <c r="Z409" s="440">
        <f t="shared" si="201"/>
        <v>442788.18937985995</v>
      </c>
      <c r="AA409" s="439"/>
      <c r="AB409" s="458">
        <f t="shared" si="202"/>
        <v>384.64828013490671</v>
      </c>
      <c r="AC409" s="440">
        <f t="shared" si="203"/>
        <v>442788.18937985995</v>
      </c>
      <c r="AD409" s="459"/>
      <c r="AE409" s="458">
        <f t="shared" si="204"/>
        <v>0</v>
      </c>
      <c r="AF409" s="440">
        <f t="shared" si="205"/>
        <v>0</v>
      </c>
      <c r="AG409" s="441">
        <f t="shared" si="206"/>
        <v>-384.64828013490671</v>
      </c>
      <c r="AH409" s="442">
        <f t="shared" si="206"/>
        <v>-442788.18937985995</v>
      </c>
      <c r="AI409" s="460">
        <f t="shared" ref="AI409:AI413" si="212">IF(AC409=0,0,AH409/AC409)</f>
        <v>-1</v>
      </c>
      <c r="AJ409" s="459"/>
      <c r="AK409" s="442">
        <f t="shared" si="207"/>
        <v>407.87819299905391</v>
      </c>
      <c r="AL409" s="440">
        <f t="shared" si="208"/>
        <v>431127.25</v>
      </c>
      <c r="AM409" s="444">
        <f t="shared" si="209"/>
        <v>-384.64828013490671</v>
      </c>
      <c r="AN409" s="442">
        <f t="shared" si="210"/>
        <v>-431127.25</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140.158892941158</v>
      </c>
      <c r="Z410" s="87">
        <f t="shared" si="201"/>
        <v>161344.02683182305</v>
      </c>
      <c r="AA410" s="449"/>
      <c r="AB410" s="455">
        <f t="shared" si="202"/>
        <v>140.158892941158</v>
      </c>
      <c r="AC410" s="87">
        <f t="shared" si="203"/>
        <v>161344.02683182305</v>
      </c>
      <c r="AD410" s="456"/>
      <c r="AE410" s="455">
        <f t="shared" si="204"/>
        <v>0</v>
      </c>
      <c r="AF410" s="87">
        <f t="shared" si="205"/>
        <v>0</v>
      </c>
      <c r="AG410" s="450">
        <f t="shared" si="206"/>
        <v>-140.158892941158</v>
      </c>
      <c r="AH410" s="451">
        <f t="shared" si="206"/>
        <v>-161344.02683182305</v>
      </c>
      <c r="AI410" s="452">
        <f t="shared" si="212"/>
        <v>-1</v>
      </c>
      <c r="AJ410" s="456"/>
      <c r="AK410" s="451">
        <f t="shared" si="207"/>
        <v>137.58851466414379</v>
      </c>
      <c r="AL410" s="87">
        <f t="shared" si="208"/>
        <v>145431.06</v>
      </c>
      <c r="AM410" s="453">
        <f t="shared" si="209"/>
        <v>-140.158892941158</v>
      </c>
      <c r="AN410" s="451">
        <f t="shared" si="210"/>
        <v>-145431.06</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17.75987847461106</v>
      </c>
      <c r="Z411" s="87">
        <f t="shared" si="201"/>
        <v>20444.298959613981</v>
      </c>
      <c r="AA411" s="449"/>
      <c r="AB411" s="455">
        <f t="shared" si="202"/>
        <v>17.75987847461106</v>
      </c>
      <c r="AC411" s="87">
        <f t="shared" si="203"/>
        <v>20444.298959613981</v>
      </c>
      <c r="AD411" s="456"/>
      <c r="AE411" s="455">
        <f t="shared" si="204"/>
        <v>0</v>
      </c>
      <c r="AF411" s="87">
        <f t="shared" si="205"/>
        <v>0</v>
      </c>
      <c r="AG411" s="450">
        <f t="shared" si="206"/>
        <v>-17.75987847461106</v>
      </c>
      <c r="AH411" s="451">
        <f t="shared" si="206"/>
        <v>-20444.298959613981</v>
      </c>
      <c r="AI411" s="452">
        <f t="shared" si="212"/>
        <v>-1</v>
      </c>
      <c r="AJ411" s="456"/>
      <c r="AK411" s="451">
        <f t="shared" si="207"/>
        <v>23.531598864711448</v>
      </c>
      <c r="AL411" s="87">
        <f t="shared" si="208"/>
        <v>24872.9</v>
      </c>
      <c r="AM411" s="453">
        <f t="shared" si="209"/>
        <v>-17.75987847461106</v>
      </c>
      <c r="AN411" s="451">
        <f t="shared" si="210"/>
        <v>-24872.9</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45.77825330486916</v>
      </c>
      <c r="Z412" s="440">
        <f t="shared" si="201"/>
        <v>52697.674578777092</v>
      </c>
      <c r="AA412" s="439"/>
      <c r="AB412" s="458">
        <f t="shared" si="202"/>
        <v>45.77825330486916</v>
      </c>
      <c r="AC412" s="440">
        <f t="shared" si="203"/>
        <v>52697.674578777092</v>
      </c>
      <c r="AD412" s="459"/>
      <c r="AE412" s="458">
        <f t="shared" si="204"/>
        <v>0</v>
      </c>
      <c r="AF412" s="440">
        <f t="shared" si="205"/>
        <v>0</v>
      </c>
      <c r="AG412" s="441">
        <f t="shared" si="206"/>
        <v>-45.77825330486916</v>
      </c>
      <c r="AH412" s="442">
        <f t="shared" si="206"/>
        <v>-52697.674578777092</v>
      </c>
      <c r="AI412" s="460">
        <f t="shared" si="212"/>
        <v>-1</v>
      </c>
      <c r="AJ412" s="459"/>
      <c r="AK412" s="442">
        <f t="shared" si="207"/>
        <v>51.896300851466414</v>
      </c>
      <c r="AL412" s="440">
        <f t="shared" si="208"/>
        <v>54854.39</v>
      </c>
      <c r="AM412" s="444">
        <f t="shared" si="209"/>
        <v>-45.77825330486916</v>
      </c>
      <c r="AN412" s="442">
        <f t="shared" si="210"/>
        <v>-54854.39</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148.83445025466179</v>
      </c>
      <c r="Z413" s="87">
        <f t="shared" si="201"/>
        <v>171330.90188910981</v>
      </c>
      <c r="AA413" s="452"/>
      <c r="AB413" s="455">
        <f t="shared" si="202"/>
        <v>148.83445025466179</v>
      </c>
      <c r="AC413" s="87">
        <f t="shared" si="203"/>
        <v>171330.90188910981</v>
      </c>
      <c r="AD413" s="456"/>
      <c r="AE413" s="455">
        <f t="shared" si="204"/>
        <v>0</v>
      </c>
      <c r="AF413" s="87">
        <f t="shared" si="205"/>
        <v>0</v>
      </c>
      <c r="AG413" s="450">
        <f t="shared" si="206"/>
        <v>-148.83445025466179</v>
      </c>
      <c r="AH413" s="451">
        <f t="shared" si="206"/>
        <v>-171330.90188910981</v>
      </c>
      <c r="AI413" s="452">
        <f t="shared" si="212"/>
        <v>-1</v>
      </c>
      <c r="AJ413" s="456"/>
      <c r="AK413" s="451">
        <f t="shared" si="207"/>
        <v>138.06908230842004</v>
      </c>
      <c r="AL413" s="87">
        <f t="shared" si="208"/>
        <v>145939.01999999999</v>
      </c>
      <c r="AM413" s="453">
        <f t="shared" si="209"/>
        <v>-148.83445025466179</v>
      </c>
      <c r="AN413" s="451">
        <f t="shared" si="210"/>
        <v>-145939.01999999999</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76.318521303761173</v>
      </c>
      <c r="Z414" s="87">
        <f t="shared" si="201"/>
        <v>87854.129628211434</v>
      </c>
      <c r="AA414" s="449"/>
      <c r="AB414" s="455">
        <f t="shared" si="202"/>
        <v>76.318521303761173</v>
      </c>
      <c r="AC414" s="87">
        <f t="shared" si="203"/>
        <v>87854.129628211434</v>
      </c>
      <c r="AD414" s="456"/>
      <c r="AE414" s="455">
        <f>IF(AF414=0,0,AF414/(J$13+J$13))</f>
        <v>0</v>
      </c>
      <c r="AF414" s="87">
        <f t="shared" si="205"/>
        <v>0</v>
      </c>
      <c r="AG414" s="450">
        <f t="shared" ref="AG414" si="214">AE414-AB414</f>
        <v>-76.318521303761173</v>
      </c>
      <c r="AH414" s="451">
        <f t="shared" ref="AH414" si="215">AF414-AC414</f>
        <v>-87854.129628211434</v>
      </c>
      <c r="AI414" s="452">
        <f t="shared" ref="AI414" si="216">IF(AC414=0,0,AH414/AC414)</f>
        <v>-1</v>
      </c>
      <c r="AJ414" s="456"/>
      <c r="AK414" s="451">
        <f t="shared" si="207"/>
        <v>140.42356669820248</v>
      </c>
      <c r="AL414" s="87">
        <f t="shared" si="208"/>
        <v>148427.71000000002</v>
      </c>
      <c r="AM414" s="453">
        <f t="shared" ref="AM414" si="217">AE414-Y414</f>
        <v>-76.318521303761173</v>
      </c>
      <c r="AN414" s="451">
        <f t="shared" ref="AN414" si="218">AF414-AL414</f>
        <v>-148427.71000000002</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0.22916612796749231</v>
      </c>
      <c r="Y418" s="88"/>
      <c r="Z418" s="90">
        <f>SUM(Z408:Z417)</f>
        <v>1643396.1586582598</v>
      </c>
      <c r="AA418" s="89">
        <f>AC418/AC406</f>
        <v>0.22916612796749231</v>
      </c>
      <c r="AB418" s="88"/>
      <c r="AC418" s="90">
        <f>SUM(AC408:AC417)</f>
        <v>1643396.1586582598</v>
      </c>
      <c r="AD418" s="91" t="e">
        <f>AF418/AF406</f>
        <v>#DIV/0!</v>
      </c>
      <c r="AE418" s="88"/>
      <c r="AF418" s="90">
        <f>SUM(AF408:AF417)</f>
        <v>0</v>
      </c>
      <c r="AG418" s="92"/>
      <c r="AH418" s="93">
        <f>AF418-AC418</f>
        <v>-1643396.1586582598</v>
      </c>
      <c r="AI418" s="89">
        <f>AH418/AC418</f>
        <v>-1</v>
      </c>
      <c r="AJ418" s="91">
        <f>IF($AL$406=0,0,AL418/$AL$406)</f>
        <v>0.24505669968795768</v>
      </c>
      <c r="AK418" s="88"/>
      <c r="AL418" s="90">
        <f>SUM(AL408:AL417)</f>
        <v>1630599.8299999998</v>
      </c>
      <c r="AM418" s="94"/>
      <c r="AN418" s="93">
        <f t="shared" si="210"/>
        <v>-1630599.8299999998</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168657.69608000002</v>
      </c>
      <c r="AA419" s="449"/>
      <c r="AB419" s="449"/>
      <c r="AC419" s="87">
        <f>+SUMPRODUCT(('Budget révisé'!$A$8:$A$500=$A419)*('Budget révisé'!$C$3:$AO$3=AC$2),'Budget révisé'!$C$8:$AO$500)</f>
        <v>168657.69608000002</v>
      </c>
      <c r="AD419" s="456"/>
      <c r="AE419" s="455"/>
      <c r="AF419" s="87">
        <f>SUMIFS(BV_Data_An_Cour!$Q:$Q,BV_Data_An_Cour!$W:$W,$V419)</f>
        <v>0</v>
      </c>
      <c r="AG419" s="450"/>
      <c r="AH419" s="451">
        <f t="shared" ref="AH419:AH430" si="230">AF419-AC419</f>
        <v>-168657.69608000002</v>
      </c>
      <c r="AI419" s="452">
        <f>IF(AC419=0,0,AH419/AC419)</f>
        <v>-1</v>
      </c>
      <c r="AJ419" s="456"/>
      <c r="AK419" s="449"/>
      <c r="AL419" s="87">
        <f>SUMIFS(BV_Data_An_Prec!$P:$P,BV_Data_An_Prec!$V:$V,$V419)</f>
        <v>56770.45</v>
      </c>
      <c r="AM419" s="453"/>
      <c r="AN419" s="451">
        <f t="shared" si="210"/>
        <v>-56770.45</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418313.24521072803</v>
      </c>
      <c r="AA420" s="449"/>
      <c r="AB420" s="449"/>
      <c r="AC420" s="87">
        <f t="shared" ref="AC420:AC431" si="233">+SUMIF($C:$C,$V420,I:I)</f>
        <v>418313.24521072803</v>
      </c>
      <c r="AD420" s="456"/>
      <c r="AE420" s="455"/>
      <c r="AF420" s="87">
        <f t="shared" ref="AF420:AF431" si="234">+SUMIF($C:$C,$V420,L:L)</f>
        <v>0</v>
      </c>
      <c r="AG420" s="450"/>
      <c r="AH420" s="451">
        <f t="shared" si="230"/>
        <v>-418313.24521072803</v>
      </c>
      <c r="AI420" s="452">
        <f t="shared" ref="AI420:AI430" si="235">IF(AC420=0,0,AH420/AC420)</f>
        <v>-1</v>
      </c>
      <c r="AJ420" s="456"/>
      <c r="AK420" s="449"/>
      <c r="AL420" s="87">
        <f t="shared" ref="AL420:AL431" si="236">+SUMIF($C:$C,$V420,Q:Q)</f>
        <v>507893.56000000006</v>
      </c>
      <c r="AM420" s="453"/>
      <c r="AN420" s="451">
        <f t="shared" si="210"/>
        <v>-507893.56000000006</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289401.58765716478</v>
      </c>
      <c r="AA421" s="439"/>
      <c r="AB421" s="439"/>
      <c r="AC421" s="440">
        <f t="shared" si="233"/>
        <v>289401.58765716478</v>
      </c>
      <c r="AD421" s="459"/>
      <c r="AE421" s="458"/>
      <c r="AF421" s="440">
        <f t="shared" si="234"/>
        <v>0</v>
      </c>
      <c r="AG421" s="441"/>
      <c r="AH421" s="442">
        <f t="shared" si="230"/>
        <v>-289401.58765716478</v>
      </c>
      <c r="AI421" s="460">
        <f t="shared" si="235"/>
        <v>-1</v>
      </c>
      <c r="AJ421" s="459"/>
      <c r="AK421" s="439"/>
      <c r="AL421" s="440">
        <f t="shared" si="236"/>
        <v>265846.92</v>
      </c>
      <c r="AM421" s="444"/>
      <c r="AN421" s="442">
        <f t="shared" si="210"/>
        <v>-265846.92</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616061.1505121839</v>
      </c>
      <c r="AA422" s="449"/>
      <c r="AB422" s="449"/>
      <c r="AC422" s="87">
        <f t="shared" si="233"/>
        <v>616061.1505121839</v>
      </c>
      <c r="AD422" s="456"/>
      <c r="AE422" s="455"/>
      <c r="AF422" s="87">
        <f t="shared" si="234"/>
        <v>0</v>
      </c>
      <c r="AG422" s="450"/>
      <c r="AH422" s="451">
        <f t="shared" si="230"/>
        <v>-616061.1505121839</v>
      </c>
      <c r="AI422" s="452">
        <f t="shared" si="235"/>
        <v>-1</v>
      </c>
      <c r="AJ422" s="456"/>
      <c r="AK422" s="449"/>
      <c r="AL422" s="87">
        <f t="shared" si="236"/>
        <v>577519.72</v>
      </c>
      <c r="AM422" s="453"/>
      <c r="AN422" s="451">
        <f t="shared" si="210"/>
        <v>-577519.72</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374011.33090872102</v>
      </c>
      <c r="AA423" s="449"/>
      <c r="AB423" s="449"/>
      <c r="AC423" s="87">
        <f t="shared" si="233"/>
        <v>374011.33090872102</v>
      </c>
      <c r="AD423" s="456"/>
      <c r="AE423" s="455"/>
      <c r="AF423" s="87">
        <f t="shared" si="234"/>
        <v>0</v>
      </c>
      <c r="AG423" s="450"/>
      <c r="AH423" s="451">
        <f t="shared" si="230"/>
        <v>-374011.33090872102</v>
      </c>
      <c r="AI423" s="452">
        <f t="shared" si="235"/>
        <v>-1</v>
      </c>
      <c r="AJ423" s="456"/>
      <c r="AK423" s="449"/>
      <c r="AL423" s="87">
        <f t="shared" si="236"/>
        <v>286190.33</v>
      </c>
      <c r="AM423" s="453"/>
      <c r="AN423" s="451">
        <f t="shared" si="210"/>
        <v>-286190.33</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437414.87749107159</v>
      </c>
      <c r="AA427" s="439"/>
      <c r="AB427" s="439"/>
      <c r="AC427" s="440">
        <f t="shared" si="233"/>
        <v>437414.87749107159</v>
      </c>
      <c r="AD427" s="459"/>
      <c r="AE427" s="458"/>
      <c r="AF427" s="440">
        <f t="shared" si="234"/>
        <v>0</v>
      </c>
      <c r="AG427" s="441"/>
      <c r="AH427" s="442">
        <f t="shared" si="230"/>
        <v>-437414.87749107159</v>
      </c>
      <c r="AI427" s="460">
        <f t="shared" si="235"/>
        <v>-1</v>
      </c>
      <c r="AJ427" s="459"/>
      <c r="AK427" s="439"/>
      <c r="AL427" s="440">
        <f t="shared" si="236"/>
        <v>392199.75999999995</v>
      </c>
      <c r="AM427" s="444"/>
      <c r="AN427" s="442">
        <f t="shared" si="210"/>
        <v>-392199.75999999995</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391749.86032423127</v>
      </c>
      <c r="AA428" s="449"/>
      <c r="AB428" s="449"/>
      <c r="AC428" s="87">
        <f t="shared" si="233"/>
        <v>391749.86032423127</v>
      </c>
      <c r="AD428" s="456"/>
      <c r="AE428" s="455"/>
      <c r="AF428" s="87">
        <f t="shared" si="234"/>
        <v>0</v>
      </c>
      <c r="AG428" s="450"/>
      <c r="AH428" s="451">
        <f t="shared" si="230"/>
        <v>-391749.86032423127</v>
      </c>
      <c r="AI428" s="452">
        <f t="shared" si="235"/>
        <v>-1</v>
      </c>
      <c r="AJ428" s="456"/>
      <c r="AK428" s="449"/>
      <c r="AL428" s="87">
        <f t="shared" si="236"/>
        <v>353896.14</v>
      </c>
      <c r="AM428" s="453"/>
      <c r="AN428" s="451">
        <f t="shared" si="210"/>
        <v>-353896.14</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311095.47731630132</v>
      </c>
      <c r="AA429" s="449"/>
      <c r="AB429" s="449"/>
      <c r="AC429" s="87">
        <f t="shared" si="233"/>
        <v>311095.47731630132</v>
      </c>
      <c r="AD429" s="456"/>
      <c r="AE429" s="455"/>
      <c r="AF429" s="87">
        <f t="shared" si="234"/>
        <v>0</v>
      </c>
      <c r="AG429" s="450"/>
      <c r="AH429" s="451">
        <f t="shared" si="230"/>
        <v>-311095.47731630132</v>
      </c>
      <c r="AI429" s="452">
        <f t="shared" si="235"/>
        <v>-1</v>
      </c>
      <c r="AJ429" s="456"/>
      <c r="AK429" s="449"/>
      <c r="AL429" s="87">
        <f t="shared" si="236"/>
        <v>279481.63</v>
      </c>
      <c r="AM429" s="453"/>
      <c r="AN429" s="451">
        <f t="shared" si="210"/>
        <v>-279481.63</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126742.60186960423</v>
      </c>
      <c r="AA430" s="449"/>
      <c r="AB430" s="449"/>
      <c r="AC430" s="87">
        <f t="shared" si="233"/>
        <v>126742.60186960423</v>
      </c>
      <c r="AD430" s="456"/>
      <c r="AE430" s="455"/>
      <c r="AF430" s="87">
        <f t="shared" si="234"/>
        <v>0</v>
      </c>
      <c r="AG430" s="450"/>
      <c r="AH430" s="451">
        <f t="shared" si="230"/>
        <v>-126742.60186960423</v>
      </c>
      <c r="AI430" s="97">
        <f t="shared" si="235"/>
        <v>-1</v>
      </c>
      <c r="AJ430" s="456"/>
      <c r="AK430" s="449"/>
      <c r="AL430" s="87">
        <f t="shared" si="236"/>
        <v>111650.62</v>
      </c>
      <c r="AM430" s="453"/>
      <c r="AN430" s="451">
        <f t="shared" si="210"/>
        <v>-111650.62</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0.43694887687507283</v>
      </c>
      <c r="Y432" s="88"/>
      <c r="Z432" s="90">
        <f>SUM(Z419:Z431)</f>
        <v>3133447.8273700061</v>
      </c>
      <c r="AA432" s="89">
        <f>AC432/AC406</f>
        <v>0.43694887687507283</v>
      </c>
      <c r="AB432" s="88"/>
      <c r="AC432" s="90">
        <f>SUM(AC419:AC431)</f>
        <v>3133447.8273700061</v>
      </c>
      <c r="AD432" s="91" t="e">
        <f>AF432/AF406</f>
        <v>#DIV/0!</v>
      </c>
      <c r="AE432" s="98"/>
      <c r="AF432" s="90">
        <f>SUM(AF419:AF431)</f>
        <v>0</v>
      </c>
      <c r="AG432" s="99"/>
      <c r="AH432" s="93">
        <f t="shared" ref="AH432:AH446" si="241">AF432-AC432</f>
        <v>-3133447.8273700061</v>
      </c>
      <c r="AI432" s="89">
        <f>AH432/AC432</f>
        <v>-1</v>
      </c>
      <c r="AJ432" s="91">
        <f>IF($AL$406=0,0,AL432/$AL$406)</f>
        <v>0.42552781275105317</v>
      </c>
      <c r="AK432" s="88"/>
      <c r="AL432" s="90">
        <f>SUM(AL419:AL431)</f>
        <v>2831449.13</v>
      </c>
      <c r="AM432" s="100"/>
      <c r="AN432" s="93">
        <f t="shared" ref="AN432:AN446" si="242">AF432-AL432</f>
        <v>-2831449.13</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117086.74999999999</v>
      </c>
      <c r="AA433" s="463"/>
      <c r="AB433" s="463"/>
      <c r="AC433" s="464">
        <f t="shared" ref="AC433:AC450" si="244">+SUMIF($C:$C,$V433,I:I)</f>
        <v>117086.74999999999</v>
      </c>
      <c r="AD433" s="465"/>
      <c r="AE433" s="466"/>
      <c r="AF433" s="464">
        <f t="shared" ref="AF433:AF446" si="245">+SUMIF($C:$C,$V433,L:L)</f>
        <v>0</v>
      </c>
      <c r="AG433" s="465"/>
      <c r="AH433" s="467">
        <f t="shared" si="241"/>
        <v>-117086.74999999999</v>
      </c>
      <c r="AI433" s="468">
        <f>IF(AC433=0,0,AH433/AC433)</f>
        <v>-1</v>
      </c>
      <c r="AJ433" s="465"/>
      <c r="AK433" s="463"/>
      <c r="AL433" s="464">
        <f t="shared" ref="AL433:AL450" si="246">+SUMIF($C:$C,$V433,Q:Q)</f>
        <v>118017.58</v>
      </c>
      <c r="AM433" s="469"/>
      <c r="AN433" s="467">
        <f t="shared" si="242"/>
        <v>-118017.58</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44710.91476643768</v>
      </c>
      <c r="AA434" s="449"/>
      <c r="AB434" s="449"/>
      <c r="AC434" s="87">
        <f t="shared" si="244"/>
        <v>44710.91476643768</v>
      </c>
      <c r="AD434" s="456"/>
      <c r="AE434" s="455"/>
      <c r="AF434" s="87">
        <f t="shared" si="245"/>
        <v>0</v>
      </c>
      <c r="AG434" s="450"/>
      <c r="AH434" s="451">
        <f t="shared" si="241"/>
        <v>-44710.91476643768</v>
      </c>
      <c r="AI434" s="452">
        <f t="shared" ref="AI434:AI446" si="248">IF(AC434=0,0,AH434/AC434)</f>
        <v>-1</v>
      </c>
      <c r="AJ434" s="456"/>
      <c r="AK434" s="449"/>
      <c r="AL434" s="87">
        <f t="shared" si="246"/>
        <v>44654.619999999995</v>
      </c>
      <c r="AM434" s="453"/>
      <c r="AN434" s="451">
        <f t="shared" si="242"/>
        <v>-44654.619999999995</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235252.83888888892</v>
      </c>
      <c r="AA435" s="439"/>
      <c r="AB435" s="439"/>
      <c r="AC435" s="440">
        <f t="shared" si="244"/>
        <v>235252.83888888892</v>
      </c>
      <c r="AD435" s="459"/>
      <c r="AE435" s="458"/>
      <c r="AF435" s="440">
        <f t="shared" si="245"/>
        <v>0</v>
      </c>
      <c r="AG435" s="441"/>
      <c r="AH435" s="442">
        <f t="shared" si="241"/>
        <v>-235252.83888888892</v>
      </c>
      <c r="AI435" s="460">
        <f t="shared" si="248"/>
        <v>-1</v>
      </c>
      <c r="AJ435" s="459"/>
      <c r="AK435" s="439"/>
      <c r="AL435" s="440">
        <f t="shared" si="246"/>
        <v>246266.47</v>
      </c>
      <c r="AM435" s="444"/>
      <c r="AN435" s="442">
        <f t="shared" si="242"/>
        <v>-246266.47</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220376.29833333334</v>
      </c>
      <c r="AA436" s="449"/>
      <c r="AB436" s="449"/>
      <c r="AC436" s="87">
        <f t="shared" si="244"/>
        <v>220376.29833333334</v>
      </c>
      <c r="AD436" s="456"/>
      <c r="AE436" s="455"/>
      <c r="AF436" s="87">
        <f t="shared" si="245"/>
        <v>0</v>
      </c>
      <c r="AG436" s="450"/>
      <c r="AH436" s="451">
        <f t="shared" si="241"/>
        <v>-220376.29833333334</v>
      </c>
      <c r="AI436" s="452">
        <f t="shared" si="248"/>
        <v>-1</v>
      </c>
      <c r="AJ436" s="456"/>
      <c r="AK436" s="449"/>
      <c r="AL436" s="87">
        <f t="shared" si="246"/>
        <v>179310.11</v>
      </c>
      <c r="AM436" s="453"/>
      <c r="AN436" s="451">
        <f t="shared" si="242"/>
        <v>-179310.11</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27229.874375000007</v>
      </c>
      <c r="AA437" s="449"/>
      <c r="AB437" s="449"/>
      <c r="AC437" s="87">
        <f t="shared" si="244"/>
        <v>27229.874375000007</v>
      </c>
      <c r="AD437" s="456"/>
      <c r="AE437" s="455"/>
      <c r="AF437" s="87">
        <f t="shared" si="245"/>
        <v>0</v>
      </c>
      <c r="AG437" s="450"/>
      <c r="AH437" s="451">
        <f t="shared" si="241"/>
        <v>-27229.874375000007</v>
      </c>
      <c r="AI437" s="452">
        <f t="shared" si="248"/>
        <v>-1</v>
      </c>
      <c r="AJ437" s="456"/>
      <c r="AK437" s="449"/>
      <c r="AL437" s="87">
        <f t="shared" si="246"/>
        <v>19088.309999999998</v>
      </c>
      <c r="AM437" s="453"/>
      <c r="AN437" s="451">
        <f t="shared" si="242"/>
        <v>-19088.309999999998</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231875.54781111112</v>
      </c>
      <c r="AA438" s="449"/>
      <c r="AB438" s="449"/>
      <c r="AC438" s="87">
        <f t="shared" si="244"/>
        <v>231875.54781111112</v>
      </c>
      <c r="AD438" s="456"/>
      <c r="AE438" s="455"/>
      <c r="AF438" s="87">
        <f t="shared" si="245"/>
        <v>0</v>
      </c>
      <c r="AG438" s="450"/>
      <c r="AH438" s="451">
        <f t="shared" si="241"/>
        <v>-231875.54781111112</v>
      </c>
      <c r="AI438" s="452">
        <f t="shared" si="248"/>
        <v>-1</v>
      </c>
      <c r="AJ438" s="456"/>
      <c r="AK438" s="449"/>
      <c r="AL438" s="87">
        <f t="shared" si="246"/>
        <v>192609.09999999998</v>
      </c>
      <c r="AM438" s="453"/>
      <c r="AN438" s="451">
        <f t="shared" si="242"/>
        <v>-192609.09999999998</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16262.31678670508</v>
      </c>
      <c r="AA440" s="449"/>
      <c r="AB440" s="455"/>
      <c r="AC440" s="87">
        <f t="shared" si="244"/>
        <v>16262.31678670508</v>
      </c>
      <c r="AD440" s="456"/>
      <c r="AE440" s="455"/>
      <c r="AF440" s="87">
        <f t="shared" si="245"/>
        <v>0</v>
      </c>
      <c r="AG440" s="450"/>
      <c r="AH440" s="451">
        <f t="shared" si="241"/>
        <v>-16262.31678670508</v>
      </c>
      <c r="AI440" s="452">
        <f t="shared" si="248"/>
        <v>-1</v>
      </c>
      <c r="AJ440" s="456"/>
      <c r="AK440" s="449"/>
      <c r="AL440" s="87">
        <f t="shared" si="246"/>
        <v>11061.02</v>
      </c>
      <c r="AM440" s="453"/>
      <c r="AN440" s="451">
        <f t="shared" si="242"/>
        <v>-11061.02</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8641.3676402185229</v>
      </c>
      <c r="AA441" s="449"/>
      <c r="AB441" s="449"/>
      <c r="AC441" s="87">
        <f t="shared" si="244"/>
        <v>8641.3676402185229</v>
      </c>
      <c r="AD441" s="456"/>
      <c r="AE441" s="455"/>
      <c r="AF441" s="87">
        <f t="shared" si="245"/>
        <v>0</v>
      </c>
      <c r="AG441" s="450"/>
      <c r="AH441" s="451">
        <f t="shared" si="241"/>
        <v>-8641.3676402185229</v>
      </c>
      <c r="AI441" s="97">
        <f t="shared" si="248"/>
        <v>-1</v>
      </c>
      <c r="AJ441" s="456"/>
      <c r="AK441" s="449"/>
      <c r="AL441" s="87">
        <f t="shared" si="246"/>
        <v>7512.71</v>
      </c>
      <c r="AM441" s="453"/>
      <c r="AN441" s="451">
        <f t="shared" si="242"/>
        <v>-7512.71</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22442.211000000003</v>
      </c>
      <c r="AA442" s="449"/>
      <c r="AB442" s="449"/>
      <c r="AC442" s="87">
        <f t="shared" si="244"/>
        <v>22442.211000000003</v>
      </c>
      <c r="AD442" s="456"/>
      <c r="AE442" s="455"/>
      <c r="AF442" s="87">
        <f t="shared" si="245"/>
        <v>0</v>
      </c>
      <c r="AG442" s="450"/>
      <c r="AH442" s="451">
        <f t="shared" si="241"/>
        <v>-22442.211000000003</v>
      </c>
      <c r="AI442" s="452">
        <f t="shared" si="248"/>
        <v>-1</v>
      </c>
      <c r="AJ442" s="456"/>
      <c r="AK442" s="449"/>
      <c r="AL442" s="87">
        <f t="shared" si="246"/>
        <v>21017.72</v>
      </c>
      <c r="AM442" s="453"/>
      <c r="AN442" s="451">
        <f t="shared" si="242"/>
        <v>-21017.72</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10362.843104166666</v>
      </c>
      <c r="AA443" s="449"/>
      <c r="AB443" s="449"/>
      <c r="AC443" s="87">
        <f t="shared" si="244"/>
        <v>10362.843104166666</v>
      </c>
      <c r="AD443" s="456"/>
      <c r="AE443" s="455"/>
      <c r="AF443" s="87">
        <f t="shared" si="245"/>
        <v>0</v>
      </c>
      <c r="AG443" s="450"/>
      <c r="AH443" s="451">
        <f t="shared" si="241"/>
        <v>-10362.843104166666</v>
      </c>
      <c r="AI443" s="97">
        <f t="shared" si="248"/>
        <v>-1</v>
      </c>
      <c r="AJ443" s="456"/>
      <c r="AK443" s="449"/>
      <c r="AL443" s="87">
        <f t="shared" si="246"/>
        <v>9205.02</v>
      </c>
      <c r="AM443" s="453"/>
      <c r="AN443" s="451">
        <f t="shared" si="242"/>
        <v>-9205.02</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5531.5243958333322</v>
      </c>
      <c r="AA444" s="449"/>
      <c r="AB444" s="449"/>
      <c r="AC444" s="87">
        <f t="shared" si="244"/>
        <v>5531.5243958333322</v>
      </c>
      <c r="AD444" s="456"/>
      <c r="AE444" s="455"/>
      <c r="AF444" s="87">
        <f t="shared" si="245"/>
        <v>0</v>
      </c>
      <c r="AG444" s="450"/>
      <c r="AH444" s="451">
        <f t="shared" si="241"/>
        <v>-5531.5243958333322</v>
      </c>
      <c r="AI444" s="452">
        <f t="shared" si="248"/>
        <v>-1</v>
      </c>
      <c r="AJ444" s="456"/>
      <c r="AK444" s="449"/>
      <c r="AL444" s="87">
        <f t="shared" si="246"/>
        <v>5302.14</v>
      </c>
      <c r="AM444" s="453"/>
      <c r="AN444" s="451">
        <f t="shared" si="242"/>
        <v>-5302.14</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26683.029770833331</v>
      </c>
      <c r="AA445" s="449"/>
      <c r="AB445" s="455"/>
      <c r="AC445" s="87">
        <f t="shared" si="244"/>
        <v>26683.029770833331</v>
      </c>
      <c r="AD445" s="456"/>
      <c r="AE445" s="455"/>
      <c r="AF445" s="87">
        <f t="shared" si="245"/>
        <v>0</v>
      </c>
      <c r="AG445" s="450"/>
      <c r="AH445" s="451">
        <f t="shared" si="241"/>
        <v>-26683.029770833331</v>
      </c>
      <c r="AI445" s="97">
        <f t="shared" si="248"/>
        <v>-1</v>
      </c>
      <c r="AJ445" s="456"/>
      <c r="AK445" s="449"/>
      <c r="AL445" s="87">
        <f t="shared" si="246"/>
        <v>27045.170000000002</v>
      </c>
      <c r="AM445" s="453"/>
      <c r="AN445" s="451">
        <f t="shared" si="242"/>
        <v>-27045.170000000002</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39643.184166666666</v>
      </c>
      <c r="AA446" s="449"/>
      <c r="AB446" s="455"/>
      <c r="AC446" s="87">
        <f t="shared" si="244"/>
        <v>39643.184166666666</v>
      </c>
      <c r="AD446" s="456"/>
      <c r="AE446" s="455"/>
      <c r="AF446" s="87">
        <f t="shared" si="245"/>
        <v>0</v>
      </c>
      <c r="AG446" s="450"/>
      <c r="AH446" s="451">
        <f t="shared" si="241"/>
        <v>-39643.184166666666</v>
      </c>
      <c r="AI446" s="452">
        <f t="shared" si="248"/>
        <v>-1</v>
      </c>
      <c r="AJ446" s="456"/>
      <c r="AK446" s="449"/>
      <c r="AL446" s="87">
        <f t="shared" si="246"/>
        <v>24938.140000000003</v>
      </c>
      <c r="AM446" s="453"/>
      <c r="AN446" s="451">
        <f t="shared" si="242"/>
        <v>-24938.140000000003</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81389.894789305385</v>
      </c>
      <c r="AA447" s="449"/>
      <c r="AB447" s="455"/>
      <c r="AC447" s="87">
        <f t="shared" si="244"/>
        <v>81389.894789305385</v>
      </c>
      <c r="AD447" s="456"/>
      <c r="AE447" s="455"/>
      <c r="AF447" s="440">
        <f>SUMIFS(BV_Data_An_Cour!$Q:$Q,BV_Data_An_Cour!$W:$W,$V447)</f>
        <v>0</v>
      </c>
      <c r="AG447" s="450"/>
      <c r="AH447" s="451">
        <f t="shared" ref="AH447:AH450" si="254">AF447-AC447</f>
        <v>-81389.894789305385</v>
      </c>
      <c r="AI447" s="452">
        <f t="shared" ref="AI447:AI450" si="255">IF(AC447=0,0,AH447/AC447)</f>
        <v>-1</v>
      </c>
      <c r="AJ447" s="456"/>
      <c r="AK447" s="449"/>
      <c r="AL447" s="87">
        <f>SUMIFS(BV_Data_An_Prec!$P:$P,BV_Data_An_Prec!$V:$V,$V447)</f>
        <v>78400.72</v>
      </c>
      <c r="AM447" s="453"/>
      <c r="AN447" s="451">
        <f t="shared" ref="AN447:AN450" si="256">AF447-AL447</f>
        <v>-78400.72</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0.15164666742211017</v>
      </c>
      <c r="Y451" s="88"/>
      <c r="Z451" s="90">
        <f>+SUM(Z433:Z450)</f>
        <v>1087488.5958284999</v>
      </c>
      <c r="AA451" s="89">
        <f>AC451/+AC406</f>
        <v>0.15164666742211017</v>
      </c>
      <c r="AB451" s="88"/>
      <c r="AC451" s="90">
        <f>+SUM(AC433:AC450)</f>
        <v>1087488.5958284999</v>
      </c>
      <c r="AD451" s="91" t="e">
        <f>AF451/AF406</f>
        <v>#DIV/0!</v>
      </c>
      <c r="AE451" s="88"/>
      <c r="AF451" s="90">
        <f>+SUM(AF433:AF450)</f>
        <v>0</v>
      </c>
      <c r="AG451" s="99"/>
      <c r="AH451" s="549">
        <f>+SUM(AH433:AH450)</f>
        <v>-1087488.5958284999</v>
      </c>
      <c r="AI451" s="89">
        <f>AH451/AC451</f>
        <v>-1</v>
      </c>
      <c r="AJ451" s="91">
        <f>IF($AL$406=0,0,AL451/$AL$406)</f>
        <v>0.14794609671796519</v>
      </c>
      <c r="AK451" s="89"/>
      <c r="AL451" s="90">
        <f>+SUM(AL433:AL450)</f>
        <v>984428.83000000007</v>
      </c>
      <c r="AM451" s="100"/>
      <c r="AN451" s="93">
        <f>+SUM(AN433:AN450)</f>
        <v>-984428.83000000007</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286000</v>
      </c>
      <c r="AA452" s="449"/>
      <c r="AB452" s="455"/>
      <c r="AC452" s="87">
        <f>+SUMPRODUCT(('Budget révisé'!$A$8:$A$500=$A452)*('Budget révisé'!$C$3:$AO$3=AC$2),'Budget révisé'!$C$8:$AO$500)</f>
        <v>286000</v>
      </c>
      <c r="AD452" s="456"/>
      <c r="AE452" s="455"/>
      <c r="AF452" s="87">
        <f>SUMIFS(BV_Data_An_Cour!$Q:$Q,BV_Data_An_Cour!$W:$W,$V452)</f>
        <v>0</v>
      </c>
      <c r="AG452" s="450"/>
      <c r="AH452" s="451">
        <f t="shared" ref="AH452:AH460" si="258">AF452-AC452</f>
        <v>-286000</v>
      </c>
      <c r="AI452" s="452">
        <f>IF(AC452=0,0,AH452/AC452)</f>
        <v>-1</v>
      </c>
      <c r="AJ452" s="456"/>
      <c r="AK452" s="449"/>
      <c r="AL452" s="87">
        <f>SUMIFS(BV_Data_An_Prec!$P:$P,BV_Data_An_Prec!$V:$V,$V452)</f>
        <v>286000</v>
      </c>
      <c r="AM452" s="453"/>
      <c r="AN452" s="451">
        <f t="shared" ref="AN452:AN460" si="259">AF452-AL452</f>
        <v>-286000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54232.749999999993</v>
      </c>
      <c r="AA453" s="449"/>
      <c r="AB453" s="455"/>
      <c r="AC453" s="87">
        <f>+SUMPRODUCT(('Budget révisé'!$A$8:$A$500=$A453)*('Budget révisé'!$C$3:$AO$3=AC$2),'Budget révisé'!$C$8:$AO$500)</f>
        <v>54232.749999999993</v>
      </c>
      <c r="AD453" s="456"/>
      <c r="AE453" s="455"/>
      <c r="AF453" s="87">
        <f>SUMIFS(BV_Data_An_Cour!$Q:$Q,BV_Data_An_Cour!$W:$W,$V453)</f>
        <v>0</v>
      </c>
      <c r="AG453" s="450"/>
      <c r="AH453" s="451">
        <f t="shared" si="258"/>
        <v>-54232.749999999993</v>
      </c>
      <c r="AI453" s="452">
        <f t="shared" ref="AI453:AI460" si="261">IF(AC453=0,0,AH453/AC453)</f>
        <v>-1</v>
      </c>
      <c r="AJ453" s="456"/>
      <c r="AK453" s="449"/>
      <c r="AL453" s="87">
        <f>SUMIFS(BV_Data_An_Prec!$P:$P,BV_Data_An_Prec!$V:$V,$V453)</f>
        <v>52910</v>
      </c>
      <c r="AM453" s="453"/>
      <c r="AN453" s="451">
        <f t="shared" si="259"/>
        <v>-52910</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36079.999999999993</v>
      </c>
      <c r="AA454" s="439"/>
      <c r="AB454" s="458"/>
      <c r="AC454" s="440">
        <f>+SUMPRODUCT(('Budget révisé'!$A$8:$A$500=$A454)*('Budget révisé'!$C$3:$AO$3=AC$2),'Budget révisé'!$C$8:$AO$500)</f>
        <v>36079.999999999993</v>
      </c>
      <c r="AD454" s="459"/>
      <c r="AE454" s="458"/>
      <c r="AF454" s="440">
        <f>SUMIFS(BV_Data_An_Cour!$Q:$Q,BV_Data_An_Cour!$W:$W,$V454)</f>
        <v>0</v>
      </c>
      <c r="AG454" s="441"/>
      <c r="AH454" s="442">
        <f t="shared" si="258"/>
        <v>-36079.999999999993</v>
      </c>
      <c r="AI454" s="460">
        <f t="shared" si="261"/>
        <v>-1</v>
      </c>
      <c r="AJ454" s="459"/>
      <c r="AK454" s="439"/>
      <c r="AL454" s="440">
        <f>SUMIFS(BV_Data_An_Prec!$P:$P,BV_Data_An_Prec!$V:$V,$V454)</f>
        <v>35200</v>
      </c>
      <c r="AM454" s="444"/>
      <c r="AN454" s="442">
        <f t="shared" si="259"/>
        <v>-35200</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46976.416666666642</v>
      </c>
      <c r="AA456" s="439"/>
      <c r="AB456" s="458"/>
      <c r="AC456" s="440">
        <f>+SUMPRODUCT(('Budget révisé'!$A$8:$A$500=$A456)*('Budget révisé'!$C$3:$AO$3=AC$2),'Budget révisé'!$C$8:$AO$500)</f>
        <v>46976.416666666642</v>
      </c>
      <c r="AD456" s="459"/>
      <c r="AE456" s="458"/>
      <c r="AF456" s="440">
        <f>SUMIF(BV_Data_An_Cour!$W:$W,Print_AAD!$V456,BV_Data_An_Cour!$Q:$Q)</f>
        <v>0</v>
      </c>
      <c r="AG456" s="441"/>
      <c r="AH456" s="442">
        <f t="shared" si="258"/>
        <v>-46976.416666666642</v>
      </c>
      <c r="AI456" s="460">
        <f t="shared" si="261"/>
        <v>-1</v>
      </c>
      <c r="AJ456" s="459"/>
      <c r="AK456" s="439"/>
      <c r="AL456" s="440">
        <f>SUMIF(BV_Data_An_Prec!$V:$V,Print_AAD!$V456,BV_Data_An_Prec!$P:$P)</f>
        <v>40789.21</v>
      </c>
      <c r="AM456" s="444"/>
      <c r="AN456" s="442">
        <f t="shared" si="259"/>
        <v>-40789.21</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31223.350125000004</v>
      </c>
      <c r="AA457" s="470"/>
      <c r="AB457" s="471"/>
      <c r="AC457" s="87">
        <f>+SUMPRODUCT(('Budget révisé'!$A$8:$A$500=$A457)*('Budget révisé'!$C$3:$AO$3=AC$2),'Budget révisé'!$C$8:$AO$500)</f>
        <v>31223.350125000004</v>
      </c>
      <c r="AD457" s="456"/>
      <c r="AE457" s="455"/>
      <c r="AF457" s="87">
        <f>SUMIFS(BV_Data_An_Cour!$Q:$Q,BV_Data_An_Cour!$W:$W,$V457)</f>
        <v>0</v>
      </c>
      <c r="AG457" s="450"/>
      <c r="AH457" s="451">
        <f t="shared" si="258"/>
        <v>-31223.350125000004</v>
      </c>
      <c r="AI457" s="452">
        <f t="shared" si="261"/>
        <v>-1</v>
      </c>
      <c r="AJ457" s="456"/>
      <c r="AK457" s="449"/>
      <c r="AL457" s="87">
        <f>SUMIFS(BV_Data_An_Prec!$P:$P,BV_Data_An_Prec!$V:$V,$V457)</f>
        <v>29608.220000000005</v>
      </c>
      <c r="AM457" s="453"/>
      <c r="AN457" s="451">
        <f t="shared" si="259"/>
        <v>-29608.220000000005</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67351.166666666672</v>
      </c>
      <c r="AA458" s="449"/>
      <c r="AB458" s="455"/>
      <c r="AC458" s="87">
        <f>+SUMPRODUCT(('Budget révisé'!$A$8:$A$500=$A458)*('Budget révisé'!$C$3:$AO$3=AC$2),'Budget révisé'!$C$8:$AO$500)</f>
        <v>67351.166666666672</v>
      </c>
      <c r="AD458" s="456"/>
      <c r="AE458" s="455"/>
      <c r="AF458" s="87">
        <f>SUMIFS(BV_Data_An_Cour!$Q:$Q,BV_Data_An_Cour!$W:$W,$V458)</f>
        <v>0</v>
      </c>
      <c r="AG458" s="450"/>
      <c r="AH458" s="451">
        <f t="shared" si="258"/>
        <v>-67351.166666666672</v>
      </c>
      <c r="AI458" s="452">
        <f t="shared" si="261"/>
        <v>-1</v>
      </c>
      <c r="AJ458" s="456"/>
      <c r="AK458" s="449"/>
      <c r="AL458" s="87">
        <f>SUMIFS(BV_Data_An_Prec!$P:$P,BV_Data_An_Prec!$V:$V,$V458)</f>
        <v>71146.19</v>
      </c>
      <c r="AM458" s="453"/>
      <c r="AN458" s="451">
        <f t="shared" si="259"/>
        <v>-71146.19</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13077.459083333331</v>
      </c>
      <c r="AA459" s="439"/>
      <c r="AB459" s="458"/>
      <c r="AC459" s="440">
        <f>+SUMPRODUCT(('Budget révisé'!$A$8:$A$500=$A459)*('Budget révisé'!$C$3:$AO$3=AC$2),'Budget révisé'!$C$8:$AO$500)</f>
        <v>13077.459083333331</v>
      </c>
      <c r="AD459" s="459"/>
      <c r="AE459" s="458"/>
      <c r="AF459" s="440">
        <f>SUMIFS(BV_Data_An_Cour!$Q:$Q,BV_Data_An_Cour!$W:$W,$V459)</f>
        <v>0</v>
      </c>
      <c r="AG459" s="441"/>
      <c r="AH459" s="442">
        <f t="shared" si="258"/>
        <v>-13077.459083333331</v>
      </c>
      <c r="AI459" s="460">
        <f t="shared" si="261"/>
        <v>-1</v>
      </c>
      <c r="AJ459" s="459"/>
      <c r="AK459" s="439"/>
      <c r="AL459" s="440">
        <f>SUMIFS(BV_Data_An_Prec!$P:$P,BV_Data_An_Prec!$V:$V,$V459)</f>
        <v>12690.53</v>
      </c>
      <c r="AM459" s="444"/>
      <c r="AN459" s="442">
        <f t="shared" si="259"/>
        <v>-12690.53</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2536.875</v>
      </c>
      <c r="AA460" s="449"/>
      <c r="AB460" s="455"/>
      <c r="AC460" s="87">
        <f>+SUMPRODUCT(('Budget révisé'!$A$8:$A$500=$A460)*('Budget révisé'!$C$3:$AO$3=AC$2),'Budget révisé'!$C$8:$AO$500)</f>
        <v>2536.875</v>
      </c>
      <c r="AD460" s="456"/>
      <c r="AE460" s="455"/>
      <c r="AF460" s="87">
        <f>SUMIFS(BV_Data_An_Cour!$Q:$Q,BV_Data_An_Cour!$W:$W,$V460)</f>
        <v>0</v>
      </c>
      <c r="AG460" s="450"/>
      <c r="AH460" s="451">
        <f t="shared" si="258"/>
        <v>-2536.875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7.4949521756355109E-2</v>
      </c>
      <c r="Y465" s="88"/>
      <c r="Z465" s="90">
        <f>SUM(Z452:Z464)</f>
        <v>537478.01754166663</v>
      </c>
      <c r="AA465" s="89">
        <f>AC465/+AC406</f>
        <v>7.4949521756355109E-2</v>
      </c>
      <c r="AB465" s="88"/>
      <c r="AC465" s="90">
        <f>SUM(AC452:AC464)</f>
        <v>537478.01754166663</v>
      </c>
      <c r="AD465" s="91" t="e">
        <f>AF465/AF406</f>
        <v>#DIV/0!</v>
      </c>
      <c r="AE465" s="88"/>
      <c r="AF465" s="90">
        <f>SUM(AF452:AF464)</f>
        <v>0</v>
      </c>
      <c r="AG465" s="99"/>
      <c r="AH465" s="551">
        <f>SUM(AH452:AH464)</f>
        <v>-537478.01754166663</v>
      </c>
      <c r="AI465" s="89">
        <f>IF(AC465=0,0,AH465/AC465)</f>
        <v>-1</v>
      </c>
      <c r="AJ465" s="91">
        <f>IF($AL$406=0,0,AL465/$AL$406)</f>
        <v>7.9402849991980731E-2</v>
      </c>
      <c r="AK465" s="89"/>
      <c r="AL465" s="90">
        <f>SUM(AL452:AL464)</f>
        <v>528344.15</v>
      </c>
      <c r="AM465" s="100"/>
      <c r="AN465" s="93">
        <f>SUM(AN452:AN464)</f>
        <v>-528344.15</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0.89271119402103039</v>
      </c>
      <c r="Y467" s="88"/>
      <c r="Z467" s="90">
        <f>Z418+Z432+Z451+Z465</f>
        <v>6401810.5993984323</v>
      </c>
      <c r="AA467" s="89">
        <f>AC467/+AC406</f>
        <v>0.89271119402103039</v>
      </c>
      <c r="AB467" s="88"/>
      <c r="AC467" s="90">
        <f>AC418+AC432+AC451+AC465</f>
        <v>6401810.5993984323</v>
      </c>
      <c r="AD467" s="91" t="e">
        <f>AF467/AF406</f>
        <v>#DIV/0!</v>
      </c>
      <c r="AE467" s="88"/>
      <c r="AF467" s="90">
        <f>AF418+AF432+AF451+AF465</f>
        <v>0</v>
      </c>
      <c r="AG467" s="99"/>
      <c r="AH467" s="93">
        <f t="shared" si="262"/>
        <v>-6401810.5993984323</v>
      </c>
      <c r="AI467" s="89">
        <f>AH467/AC467</f>
        <v>-1</v>
      </c>
      <c r="AJ467" s="91">
        <f>IF($AL$406=0,0,AL467/$AL$406)</f>
        <v>0.89793345914895684</v>
      </c>
      <c r="AK467" s="89"/>
      <c r="AL467" s="90">
        <f>AL418+AL432+AL451+AL465</f>
        <v>5974821.9400000004</v>
      </c>
      <c r="AM467" s="100"/>
      <c r="AN467" s="93">
        <f t="shared" si="263"/>
        <v>-5974821.9400000004</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93159.430000000008</v>
      </c>
      <c r="AA468" s="243"/>
      <c r="AB468" s="244"/>
      <c r="AC468" s="242">
        <f>+SUMPRODUCT(('Budget révisé'!$A$8:$A$500=$A468)*('Budget révisé'!$C$3:$AO$3=AC$2),'Budget révisé'!$C$8:$AO$500)</f>
        <v>93159.430000000008</v>
      </c>
      <c r="AD468" s="246"/>
      <c r="AE468" s="244"/>
      <c r="AF468" s="87">
        <f>-SUMIFS(BV_Data_An_Cour!$Q:$Q,BV_Data_An_Cour!$W:$W,$V468)</f>
        <v>0</v>
      </c>
      <c r="AG468" s="245"/>
      <c r="AH468" s="476">
        <f t="shared" si="262"/>
        <v>-93159.430000000008</v>
      </c>
      <c r="AI468" s="477">
        <f t="shared" ref="AI468:AI472" si="265">IF(AH468=0,0,AH468/AC468)</f>
        <v>-1</v>
      </c>
      <c r="AJ468" s="246"/>
      <c r="AK468" s="243"/>
      <c r="AL468" s="478">
        <f>-SUMIFS(BV_Data_An_Prec!$P:$P,BV_Data_An_Prec!$V:$V,$V468)</f>
        <v>217176.8</v>
      </c>
      <c r="AM468" s="247"/>
      <c r="AN468" s="476">
        <f t="shared" si="263"/>
        <v>-217176.8</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826377.26801204798</v>
      </c>
      <c r="AA469" s="249"/>
      <c r="AB469" s="241"/>
      <c r="AC469" s="248">
        <f t="shared" ref="AC469:AC479" si="267">+SUMIF($C:$C,$V469,I:I)</f>
        <v>826377.26801204798</v>
      </c>
      <c r="AD469" s="252"/>
      <c r="AE469" s="241"/>
      <c r="AF469" s="248">
        <f t="shared" ref="AF469:AF479" si="268">+SUMIF($C:$C,$V469,L:L)</f>
        <v>0</v>
      </c>
      <c r="AG469" s="250"/>
      <c r="AH469" s="476">
        <f t="shared" si="262"/>
        <v>-826377.26801204798</v>
      </c>
      <c r="AI469" s="251">
        <f>IF(AC469=0,0,AH469/AC469)</f>
        <v>-1</v>
      </c>
      <c r="AJ469" s="252"/>
      <c r="AK469" s="249"/>
      <c r="AL469" s="253">
        <f t="shared" ref="AL469:AL479" si="269">+SUMIF($C:$C,$V469,Q:Q)</f>
        <v>765206.65</v>
      </c>
      <c r="AM469" s="254"/>
      <c r="AN469" s="476">
        <f t="shared" si="263"/>
        <v>-765206.65</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51584.4</v>
      </c>
      <c r="AA470" s="249"/>
      <c r="AB470" s="241"/>
      <c r="AC470" s="248">
        <f t="shared" si="267"/>
        <v>51584.4</v>
      </c>
      <c r="AD470" s="252"/>
      <c r="AE470" s="241"/>
      <c r="AF470" s="248">
        <f t="shared" si="268"/>
        <v>0</v>
      </c>
      <c r="AG470" s="250"/>
      <c r="AH470" s="476">
        <f t="shared" si="262"/>
        <v>-51584.4</v>
      </c>
      <c r="AI470" s="251">
        <f t="shared" si="265"/>
        <v>-1</v>
      </c>
      <c r="AJ470" s="252"/>
      <c r="AK470" s="249"/>
      <c r="AL470" s="253">
        <f t="shared" si="269"/>
        <v>122276.52</v>
      </c>
      <c r="AM470" s="254"/>
      <c r="AN470" s="476">
        <f t="shared" si="263"/>
        <v>-122276.52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441395.13214395521</v>
      </c>
      <c r="AA479" s="249"/>
      <c r="AB479" s="241"/>
      <c r="AC479" s="248">
        <f t="shared" si="267"/>
        <v>441395.13214395521</v>
      </c>
      <c r="AD479" s="252"/>
      <c r="AE479" s="241"/>
      <c r="AF479" s="248">
        <f t="shared" si="268"/>
        <v>0</v>
      </c>
      <c r="AG479" s="250"/>
      <c r="AH479" s="476">
        <f t="shared" ref="AH479:AH480" si="277">AF479-AC479</f>
        <v>-441395.13214395521</v>
      </c>
      <c r="AI479" s="251">
        <f>IF(AH479=0,0,AH479/AC479)</f>
        <v>-1</v>
      </c>
      <c r="AJ479" s="252"/>
      <c r="AK479" s="249"/>
      <c r="AL479" s="253">
        <f t="shared" si="269"/>
        <v>359863.88</v>
      </c>
      <c r="AM479" s="254"/>
      <c r="AN479" s="476">
        <f t="shared" si="275"/>
        <v>-359863.88</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0.19697068990375027</v>
      </c>
      <c r="Y480" s="103"/>
      <c r="Z480" s="90">
        <f>SUM(Z468:Z479)</f>
        <v>1412516.2301560033</v>
      </c>
      <c r="AA480" s="89">
        <f>AC480/+AC406</f>
        <v>0.19697068990375027</v>
      </c>
      <c r="AB480" s="103"/>
      <c r="AC480" s="90">
        <f>SUM(AC468:AC479)</f>
        <v>1412516.2301560033</v>
      </c>
      <c r="AD480" s="89" t="e">
        <f>AF480/+AF406</f>
        <v>#DIV/0!</v>
      </c>
      <c r="AE480" s="103"/>
      <c r="AF480" s="90">
        <f>SUM(AF468:AF479)</f>
        <v>0</v>
      </c>
      <c r="AG480" s="99"/>
      <c r="AH480" s="93">
        <f t="shared" si="277"/>
        <v>-1412516.2301560033</v>
      </c>
      <c r="AI480" s="89">
        <f>AH480/AC480</f>
        <v>-1</v>
      </c>
      <c r="AJ480" s="109"/>
      <c r="AK480" s="110"/>
      <c r="AL480" s="90">
        <f>SUM(AL468:AL479)</f>
        <v>1464523.85</v>
      </c>
      <c r="AM480" s="111"/>
      <c r="AN480" s="93">
        <f t="shared" ref="AN480:AN482" si="278">AF480-AL480</f>
        <v>-1464523.85</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4.091002274375604E-2</v>
      </c>
      <c r="Z482" s="485">
        <f>Z406-Z467+Z480</f>
        <v>2181905.7257881025</v>
      </c>
      <c r="AA482" s="483" t="s">
        <v>258</v>
      </c>
      <c r="AB482" s="484">
        <f>AC482/AC405</f>
        <v>4.091002274375604E-2</v>
      </c>
      <c r="AC482" s="485">
        <f>AC406-AC467+AC480</f>
        <v>2181905.7257881025</v>
      </c>
      <c r="AD482" s="483" t="s">
        <v>258</v>
      </c>
      <c r="AE482" s="484" t="e">
        <f>AF482/AF405</f>
        <v>#DIV/0!</v>
      </c>
      <c r="AF482" s="211">
        <f>AF406-AF467+AF480</f>
        <v>0</v>
      </c>
      <c r="AG482" s="486"/>
      <c r="AH482" s="486">
        <f>AF482-AC482</f>
        <v>-2181905.7257881025</v>
      </c>
      <c r="AI482" s="540">
        <f>AH482/AC482</f>
        <v>-1</v>
      </c>
      <c r="AJ482" s="487" t="s">
        <v>258</v>
      </c>
      <c r="AK482" s="484">
        <f>IF($AL$405=0,0,AL482/$AL$405)</f>
        <v>3.8723017486122759E-2</v>
      </c>
      <c r="AL482" s="211">
        <f>AL406-AL467+AL480</f>
        <v>2143671.5099999993</v>
      </c>
      <c r="AM482" s="212"/>
      <c r="AN482" s="211">
        <f t="shared" si="278"/>
        <v>-2143671.5099999993</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Novembre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4.091002274375604E-2</v>
      </c>
      <c r="Z488" s="493">
        <f>Z482</f>
        <v>2181905.7257881025</v>
      </c>
      <c r="AA488" s="491" t="s">
        <v>258</v>
      </c>
      <c r="AB488" s="492">
        <f>AC488/AC405</f>
        <v>4.091002274375604E-2</v>
      </c>
      <c r="AC488" s="493">
        <f>AC482</f>
        <v>2181905.7257881025</v>
      </c>
      <c r="AD488" s="491" t="s">
        <v>258</v>
      </c>
      <c r="AE488" s="492" t="e">
        <f>AF488/AF405</f>
        <v>#DIV/0!</v>
      </c>
      <c r="AF488" s="493">
        <f>AF482</f>
        <v>0</v>
      </c>
      <c r="AG488" s="494"/>
      <c r="AH488" s="486">
        <f>AF488-AC488</f>
        <v>-2181905.7257881025</v>
      </c>
      <c r="AI488" s="540">
        <f>AH488/AC488</f>
        <v>-1</v>
      </c>
      <c r="AJ488" s="491" t="s">
        <v>258</v>
      </c>
      <c r="AK488" s="492">
        <f>IF($AL$405=0,0,AL488/$AL$405)</f>
        <v>3.8723017486122759E-2</v>
      </c>
      <c r="AL488" s="495">
        <f>AL482</f>
        <v>2143671.5099999993</v>
      </c>
      <c r="AM488" s="496"/>
      <c r="AN488" s="497">
        <f>AF488-AL488</f>
        <v>-2143671.5099999993</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81180.75</v>
      </c>
      <c r="AA490" s="449"/>
      <c r="AB490" s="455"/>
      <c r="AC490" s="87">
        <f>+SUMPRODUCT(('Budget révisé'!$A$8:$A$500=$A490)*('Budget révisé'!$C$3:$AO$3=AC$2),'Budget révisé'!$C$8:$AO$500)</f>
        <v>81180.75</v>
      </c>
      <c r="AD490" s="449"/>
      <c r="AE490" s="455"/>
      <c r="AF490" s="87">
        <f>SUMIFS(BV_Data_An_Cour!$Q:$Q,BV_Data_An_Cour!$W:$W,$V490)</f>
        <v>0</v>
      </c>
      <c r="AG490" s="449"/>
      <c r="AH490" s="451">
        <f t="shared" ref="AH490:AH491" si="281">AF490-AC490</f>
        <v>-81180.75</v>
      </c>
      <c r="AI490" s="97">
        <f>IF(AC490=0,0,AH490/AC490)</f>
        <v>-1</v>
      </c>
      <c r="AJ490" s="449"/>
      <c r="AK490" s="449"/>
      <c r="AL490" s="87">
        <f>SUMIFS(BV_Data_An_Prec!$P:$P,BV_Data_An_Prec!$V:$V,$V490)</f>
        <v>50157</v>
      </c>
      <c r="AM490" s="453"/>
      <c r="AN490" s="451">
        <f t="shared" ref="AN490:AN491" si="282">AF490-AL490</f>
        <v>-50157</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-4458.1099999999997</v>
      </c>
      <c r="AM491" s="502"/>
      <c r="AN491" s="451">
        <f t="shared" si="282"/>
        <v>4458.1099999999997</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4712.91</v>
      </c>
      <c r="AA492" s="433"/>
      <c r="AB492" s="433"/>
      <c r="AC492" s="87">
        <f>+SUMPRODUCT(('Budget révisé'!$A$8:$A$500=$A492)*('Budget révisé'!$C$3:$AO$3=AC$2),'Budget révisé'!$C$8:$AO$500)</f>
        <v>4712.91</v>
      </c>
      <c r="AD492" s="433"/>
      <c r="AE492" s="172"/>
      <c r="AF492" s="87">
        <f>SUMIFS(BV_Data_An_Cour!$Q:$Q,BV_Data_An_Cour!$W:$W,$V492)</f>
        <v>0</v>
      </c>
      <c r="AG492" s="433"/>
      <c r="AH492" s="451">
        <f t="shared" ref="AH492:AH496" si="286">AF492-AC492</f>
        <v>-4712.91</v>
      </c>
      <c r="AI492" s="97">
        <f t="shared" ref="AI492:AI496" si="287">IF(AC492=0,0,AH492/AC492)</f>
        <v>-1</v>
      </c>
      <c r="AJ492" s="433"/>
      <c r="AK492" s="433"/>
      <c r="AL492" s="87">
        <f>SUMIFS(BV_Data_An_Prec!$P:$P,BV_Data_An_Prec!$V:$V,$V492)</f>
        <v>6276.49</v>
      </c>
      <c r="AM492" s="502"/>
      <c r="AN492" s="451">
        <f t="shared" ref="AN492:AN496" si="288">AF492-AL492</f>
        <v>-6276.49</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3.9299544553698024E-2</v>
      </c>
      <c r="Z497" s="485">
        <f>Z488-Z490-Z491-Z492-Z496</f>
        <v>2096012.0657881026</v>
      </c>
      <c r="AA497" s="483" t="s">
        <v>258</v>
      </c>
      <c r="AB497" s="484">
        <f>AC497/AC405</f>
        <v>3.9299544553698024E-2</v>
      </c>
      <c r="AC497" s="485">
        <f>AC488-AC490-AC491-AC492-AC496</f>
        <v>2096012.0657881026</v>
      </c>
      <c r="AD497" s="483" t="s">
        <v>258</v>
      </c>
      <c r="AE497" s="484" t="e">
        <f>AF497/AF405</f>
        <v>#DIV/0!</v>
      </c>
      <c r="AF497" s="211">
        <f>AF488-AF490-AF491-AF492-AF496</f>
        <v>0</v>
      </c>
      <c r="AG497" s="486"/>
      <c r="AH497" s="486">
        <f>AF497-AC497</f>
        <v>-2096012.0657881026</v>
      </c>
      <c r="AI497" s="540">
        <f>AH497/AC497</f>
        <v>-1</v>
      </c>
      <c r="AJ497" s="487" t="s">
        <v>258</v>
      </c>
      <c r="AK497" s="484">
        <f>IF($AL$405=0,0,AL497/$AL$405)</f>
        <v>3.778414063899431E-2</v>
      </c>
      <c r="AL497" s="211">
        <f>AL488-AL490-AL491-AL492-AL496</f>
        <v>2091696.1299999992</v>
      </c>
      <c r="AM497" s="212"/>
      <c r="AN497" s="211">
        <f>AF497-AL497</f>
        <v>-2091696.1299999992</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2096012.0657881026</v>
      </c>
      <c r="AA499" s="79"/>
      <c r="AB499" s="79"/>
      <c r="AC499" s="101">
        <f>Z499</f>
        <v>2096012.0657881026</v>
      </c>
      <c r="AD499" s="79"/>
      <c r="AE499" s="79"/>
      <c r="AF499" s="126"/>
      <c r="AG499" s="79"/>
      <c r="AH499" s="79"/>
      <c r="AI499" s="79"/>
      <c r="AJ499" s="79"/>
      <c r="AK499" s="1334">
        <v>44377</v>
      </c>
      <c r="AL499" s="79">
        <v>2091556.13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434"/>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49" customWidth="1"/>
    <col min="2" max="2" width="16.375" style="1249" customWidth="1"/>
    <col min="3" max="5" width="11.125" style="1249" customWidth="1"/>
    <col min="6" max="6" width="3.25" style="1249" customWidth="1"/>
    <col min="7" max="7" width="16.375" style="1249" customWidth="1"/>
    <col min="8" max="10" width="11.125" style="1249" customWidth="1"/>
    <col min="11" max="11" width="3.25" style="1249" customWidth="1"/>
    <col min="12" max="12" width="16.375" style="1249" customWidth="1"/>
    <col min="13" max="15" width="11.125" style="1249" customWidth="1"/>
    <col min="16" max="16" width="3.25" style="1249" customWidth="1"/>
    <col min="17" max="17" width="16.375" style="1249" customWidth="1"/>
    <col min="18" max="20" width="11.125" style="1249" customWidth="1"/>
    <col min="21" max="16384" width="11" style="1249"/>
  </cols>
  <sheetData>
    <row r="1" spans="1:21" ht="16.5" thickTop="1" thickBot="1">
      <c r="B1" s="1301" t="s">
        <v>3329</v>
      </c>
      <c r="C1" s="1302"/>
      <c r="D1" s="1302"/>
      <c r="E1" s="1302"/>
      <c r="F1" s="1302"/>
      <c r="G1" s="1302"/>
      <c r="H1" s="1302"/>
      <c r="I1" s="1302"/>
      <c r="J1" s="1302"/>
      <c r="K1" s="1302"/>
      <c r="L1" s="1302"/>
      <c r="M1" s="1302"/>
      <c r="N1" s="1302"/>
      <c r="O1" s="1302"/>
      <c r="P1" s="1302"/>
      <c r="Q1" s="1302"/>
      <c r="R1" s="1302"/>
      <c r="S1" s="1302"/>
      <c r="T1" s="1303"/>
    </row>
    <row r="2" spans="1:21" ht="15.75" thickTop="1">
      <c r="A2" s="1270"/>
      <c r="B2" s="1270"/>
      <c r="C2" s="1270"/>
      <c r="D2" s="1270"/>
      <c r="E2" s="1270"/>
      <c r="F2" s="1270"/>
      <c r="G2" s="1270"/>
      <c r="H2" s="1270"/>
      <c r="I2" s="1270"/>
      <c r="J2" s="1270"/>
      <c r="K2" s="1270"/>
      <c r="L2" s="1270"/>
      <c r="M2" s="1270"/>
      <c r="N2" s="1270"/>
      <c r="O2" s="1270"/>
      <c r="P2" s="1270"/>
      <c r="Q2" s="1270"/>
      <c r="R2" s="1270"/>
      <c r="S2" s="1270"/>
      <c r="T2" s="1270"/>
      <c r="U2" s="1270"/>
    </row>
    <row r="3" spans="1:21">
      <c r="A3" s="1270"/>
      <c r="B3" s="1248" t="s">
        <v>3302</v>
      </c>
      <c r="C3" s="1269" t="s">
        <v>3303</v>
      </c>
      <c r="D3" s="1269" t="s">
        <v>3304</v>
      </c>
      <c r="E3" s="1269" t="s">
        <v>3305</v>
      </c>
      <c r="F3" s="1270"/>
      <c r="G3" s="1248" t="s">
        <v>3306</v>
      </c>
      <c r="H3" s="1269" t="s">
        <v>3303</v>
      </c>
      <c r="I3" s="1269" t="s">
        <v>3304</v>
      </c>
      <c r="J3" s="1269" t="s">
        <v>3305</v>
      </c>
      <c r="K3" s="1270"/>
      <c r="L3" s="1248" t="s">
        <v>155</v>
      </c>
      <c r="M3" s="1269" t="s">
        <v>3307</v>
      </c>
      <c r="N3" s="1269" t="s">
        <v>3308</v>
      </c>
      <c r="O3" s="1269" t="s">
        <v>3305</v>
      </c>
      <c r="P3" s="1270"/>
      <c r="Q3" s="1248" t="s">
        <v>3309</v>
      </c>
      <c r="R3" s="1269" t="s">
        <v>3303</v>
      </c>
      <c r="S3" s="1269" t="s">
        <v>3310</v>
      </c>
      <c r="T3" s="1269" t="s">
        <v>1914</v>
      </c>
      <c r="U3" s="1270"/>
    </row>
    <row r="4" spans="1:21">
      <c r="A4" s="1270"/>
      <c r="B4" s="1271" t="s">
        <v>3311</v>
      </c>
      <c r="C4" s="1270"/>
      <c r="D4" s="1270"/>
      <c r="E4" s="1270"/>
      <c r="F4" s="1270"/>
      <c r="G4" s="1271" t="s">
        <v>3311</v>
      </c>
      <c r="H4" s="1270"/>
      <c r="I4" s="1270"/>
      <c r="J4" s="1270"/>
      <c r="K4" s="1270"/>
      <c r="L4" s="1271" t="s">
        <v>3311</v>
      </c>
      <c r="M4" s="1270"/>
      <c r="N4" s="1270"/>
      <c r="O4" s="1270"/>
      <c r="P4" s="1270"/>
      <c r="Q4" s="1271" t="s">
        <v>3311</v>
      </c>
      <c r="R4" s="1270"/>
      <c r="S4" s="1270"/>
      <c r="T4" s="1270"/>
      <c r="U4" s="1270"/>
    </row>
    <row r="5" spans="1:21">
      <c r="A5" s="1270"/>
      <c r="B5" s="1250" t="s">
        <v>3312</v>
      </c>
      <c r="C5" s="1267">
        <f>Print_AAD!J27</f>
        <v>0</v>
      </c>
      <c r="D5" s="1251" t="e">
        <f>Print_AAD!L27/Print_AAD!J27</f>
        <v>#DIV/0!</v>
      </c>
      <c r="E5" s="1252" t="e">
        <f>+C5*D5</f>
        <v>#DIV/0!</v>
      </c>
      <c r="F5" s="1270"/>
      <c r="G5" s="1250" t="s">
        <v>3312</v>
      </c>
      <c r="H5" s="1267">
        <f>Print_AAD!J107</f>
        <v>0</v>
      </c>
      <c r="I5" s="1251" t="e">
        <f>Print_AAD!L107/Print_AAD!J107</f>
        <v>#DIV/0!</v>
      </c>
      <c r="J5" s="1252" t="e">
        <f>+H5*I5</f>
        <v>#DIV/0!</v>
      </c>
      <c r="K5" s="1270"/>
      <c r="L5" s="1250" t="s">
        <v>3312</v>
      </c>
      <c r="M5" s="1253">
        <f>Print_AAD!K193</f>
        <v>0</v>
      </c>
      <c r="N5" s="1254" t="e">
        <f>O5/M5</f>
        <v>#DIV/0!</v>
      </c>
      <c r="O5" s="1255">
        <f>Print_AAD!L193</f>
        <v>0</v>
      </c>
      <c r="P5" s="1270"/>
      <c r="Q5" s="1250" t="s">
        <v>3312</v>
      </c>
      <c r="R5" s="1256">
        <f>Print_AAD!J184</f>
        <v>0</v>
      </c>
      <c r="S5" s="1251" t="e">
        <f>Print_AAD!K184/Print_AAD!J184</f>
        <v>#DIV/0!</v>
      </c>
      <c r="T5" s="1252" t="e">
        <f>+R5*S5</f>
        <v>#DIV/0!</v>
      </c>
      <c r="U5" s="1270"/>
    </row>
    <row r="6" spans="1:21">
      <c r="A6" s="1270"/>
      <c r="B6" s="1272" t="s">
        <v>6</v>
      </c>
      <c r="C6" s="1273">
        <f>Print_AAD!G27</f>
        <v>789.97148645149491</v>
      </c>
      <c r="D6" s="1274">
        <f>Print_AAD!I27/Print_AAD!G27</f>
        <v>2814.5171912047472</v>
      </c>
      <c r="E6" s="1275">
        <f>+C6*D6</f>
        <v>2223388.3291793005</v>
      </c>
      <c r="F6" s="1270"/>
      <c r="G6" s="1272" t="s">
        <v>6</v>
      </c>
      <c r="H6" s="1273">
        <f>Print_AAD!G107</f>
        <v>821.38691254198102</v>
      </c>
      <c r="I6" s="1274">
        <f>Print_AAD!I107/Print_AAD!G107</f>
        <v>1773.5940903255239</v>
      </c>
      <c r="J6" s="1275">
        <f>+H6*I6</f>
        <v>1456806.9739551854</v>
      </c>
      <c r="K6" s="1270"/>
      <c r="L6" s="1272" t="s">
        <v>6</v>
      </c>
      <c r="M6" s="1276">
        <f>Print_AAD!H193</f>
        <v>3013949.6230535721</v>
      </c>
      <c r="N6" s="1257">
        <f>O6/M6</f>
        <v>0.674741272708</v>
      </c>
      <c r="O6" s="1277">
        <f>Print_AAD!I193</f>
        <v>2033636.2045369642</v>
      </c>
      <c r="P6" s="1270"/>
      <c r="Q6" s="1272" t="s">
        <v>6</v>
      </c>
      <c r="R6" s="1298">
        <f>Print_AAD!G184</f>
        <v>12158.059742328067</v>
      </c>
      <c r="S6" s="1274">
        <f>Print_AAD!H184/Print_AAD!G184</f>
        <v>225.51626140936841</v>
      </c>
      <c r="T6" s="1275">
        <f>+R6*S6</f>
        <v>2741840.1790815745</v>
      </c>
      <c r="U6" s="1270"/>
    </row>
    <row r="7" spans="1:21" ht="15.75" thickBot="1">
      <c r="A7" s="1270"/>
      <c r="B7" s="1278" t="s">
        <v>3311</v>
      </c>
      <c r="C7" s="1279">
        <f>+C5-C6</f>
        <v>-789.97148645149491</v>
      </c>
      <c r="D7" s="1280" t="e">
        <f t="shared" ref="D7:E7" si="0">+D5-D6</f>
        <v>#DIV/0!</v>
      </c>
      <c r="E7" s="1258" t="e">
        <f t="shared" si="0"/>
        <v>#DIV/0!</v>
      </c>
      <c r="F7" s="1270"/>
      <c r="G7" s="1278" t="s">
        <v>3311</v>
      </c>
      <c r="H7" s="1279">
        <f>+H5-H6</f>
        <v>-821.38691254198102</v>
      </c>
      <c r="I7" s="1280" t="e">
        <f t="shared" ref="I7:J7" si="1">+I5-I6</f>
        <v>#DIV/0!</v>
      </c>
      <c r="J7" s="1258" t="e">
        <f t="shared" si="1"/>
        <v>#DIV/0!</v>
      </c>
      <c r="K7" s="1270"/>
      <c r="L7" s="1278" t="s">
        <v>3311</v>
      </c>
      <c r="M7" s="1281">
        <f>+M5-M6</f>
        <v>-3013949.6230535721</v>
      </c>
      <c r="N7" s="1282" t="e">
        <f t="shared" ref="N7:O7" si="2">+N5-N6</f>
        <v>#DIV/0!</v>
      </c>
      <c r="O7" s="1259">
        <f t="shared" si="2"/>
        <v>-2033636.2045369642</v>
      </c>
      <c r="P7" s="1270"/>
      <c r="Q7" s="1278" t="s">
        <v>3311</v>
      </c>
      <c r="R7" s="1299">
        <f>+R5-R6</f>
        <v>-12158.059742328067</v>
      </c>
      <c r="S7" s="1280" t="e">
        <f t="shared" ref="S7:T7" si="3">+S5-S6</f>
        <v>#DIV/0!</v>
      </c>
      <c r="T7" s="1260" t="e">
        <f t="shared" si="3"/>
        <v>#DIV/0!</v>
      </c>
      <c r="U7" s="1270"/>
    </row>
    <row r="8" spans="1:21" ht="15.75" thickTop="1">
      <c r="A8" s="1270"/>
      <c r="B8" s="1270"/>
      <c r="C8" s="1261">
        <f>+C7/C6</f>
        <v>-1</v>
      </c>
      <c r="D8" s="1261" t="e">
        <f>+D7/D6</f>
        <v>#DIV/0!</v>
      </c>
      <c r="E8" s="1275"/>
      <c r="F8" s="1270"/>
      <c r="G8" s="1270"/>
      <c r="H8" s="1261">
        <f>+H7/H6</f>
        <v>-1</v>
      </c>
      <c r="I8" s="1261" t="e">
        <f>+I7/I6</f>
        <v>#DIV/0!</v>
      </c>
      <c r="J8" s="1275"/>
      <c r="K8" s="1270"/>
      <c r="L8" s="1270"/>
      <c r="M8" s="1261">
        <f>+M7/M6</f>
        <v>-1</v>
      </c>
      <c r="N8" s="1261" t="e">
        <f>+N7/N6</f>
        <v>#DIV/0!</v>
      </c>
      <c r="O8" s="1284"/>
      <c r="P8" s="1270"/>
      <c r="Q8" s="1270"/>
      <c r="R8" s="1261">
        <f>+R7/R6</f>
        <v>-1</v>
      </c>
      <c r="S8" s="1261" t="e">
        <f>+S7/S6</f>
        <v>#DIV/0!</v>
      </c>
      <c r="T8" s="1275"/>
      <c r="U8" s="1270"/>
    </row>
    <row r="9" spans="1:21">
      <c r="A9" s="1270"/>
      <c r="B9" s="1271" t="s">
        <v>3313</v>
      </c>
      <c r="C9" s="1270"/>
      <c r="D9" s="1275"/>
      <c r="E9" s="1275"/>
      <c r="F9" s="1270"/>
      <c r="G9" s="1271" t="s">
        <v>3313</v>
      </c>
      <c r="H9" s="1283"/>
      <c r="I9" s="1275"/>
      <c r="J9" s="1275"/>
      <c r="K9" s="1270"/>
      <c r="L9" s="1271" t="s">
        <v>3313</v>
      </c>
      <c r="M9" s="1275"/>
      <c r="N9" s="1285"/>
      <c r="O9" s="1284"/>
      <c r="P9" s="1270"/>
      <c r="Q9" s="1271" t="s">
        <v>3313</v>
      </c>
      <c r="R9" s="1270"/>
      <c r="S9" s="1275"/>
      <c r="T9" s="1275"/>
      <c r="U9" s="1270"/>
    </row>
    <row r="10" spans="1:21">
      <c r="A10" s="1270"/>
      <c r="B10" s="1272" t="s">
        <v>3314</v>
      </c>
      <c r="C10" s="1268">
        <f>+C5</f>
        <v>0</v>
      </c>
      <c r="D10" s="1252" t="e">
        <f>+D5</f>
        <v>#DIV/0!</v>
      </c>
      <c r="E10" s="1275" t="e">
        <f>+C10*D10</f>
        <v>#DIV/0!</v>
      </c>
      <c r="F10" s="1270"/>
      <c r="G10" s="1272" t="s">
        <v>3314</v>
      </c>
      <c r="H10" s="1268">
        <f>+H5</f>
        <v>0</v>
      </c>
      <c r="I10" s="1252" t="e">
        <f>+I5</f>
        <v>#DIV/0!</v>
      </c>
      <c r="J10" s="1275" t="e">
        <f>+H10*I10</f>
        <v>#DIV/0!</v>
      </c>
      <c r="K10" s="1270"/>
      <c r="L10" s="1272" t="s">
        <v>3314</v>
      </c>
      <c r="M10" s="1262">
        <f>+M5</f>
        <v>0</v>
      </c>
      <c r="N10" s="1263" t="e">
        <f>+N5</f>
        <v>#DIV/0!</v>
      </c>
      <c r="O10" s="1284" t="e">
        <f>+M10*N10</f>
        <v>#DIV/0!</v>
      </c>
      <c r="P10" s="1270"/>
      <c r="Q10" s="1272" t="s">
        <v>3314</v>
      </c>
      <c r="R10" s="1264">
        <f>+R5</f>
        <v>0</v>
      </c>
      <c r="S10" s="1252" t="e">
        <f>+S5</f>
        <v>#DIV/0!</v>
      </c>
      <c r="T10" s="1275" t="e">
        <f>+R10*S10</f>
        <v>#DIV/0!</v>
      </c>
      <c r="U10" s="1270"/>
    </row>
    <row r="11" spans="1:21">
      <c r="A11" s="1270"/>
      <c r="B11" s="1272" t="s">
        <v>3315</v>
      </c>
      <c r="C11" s="1268">
        <f>+C5</f>
        <v>0</v>
      </c>
      <c r="D11" s="1275">
        <f>+D6</f>
        <v>2814.5171912047472</v>
      </c>
      <c r="E11" s="1275">
        <f>C11*D11</f>
        <v>0</v>
      </c>
      <c r="F11" s="1270"/>
      <c r="G11" s="1272" t="s">
        <v>3315</v>
      </c>
      <c r="H11" s="1268">
        <f>+H5</f>
        <v>0</v>
      </c>
      <c r="I11" s="1275">
        <f>+I6</f>
        <v>1773.5940903255239</v>
      </c>
      <c r="J11" s="1275">
        <f>H11*I11</f>
        <v>0</v>
      </c>
      <c r="K11" s="1270"/>
      <c r="L11" s="1272" t="s">
        <v>3315</v>
      </c>
      <c r="M11" s="1262">
        <f>+M5</f>
        <v>0</v>
      </c>
      <c r="N11" s="1286">
        <f>+N6</f>
        <v>0.674741272708</v>
      </c>
      <c r="O11" s="1284">
        <f>M11*N11</f>
        <v>0</v>
      </c>
      <c r="P11" s="1270"/>
      <c r="Q11" s="1272" t="s">
        <v>3315</v>
      </c>
      <c r="R11" s="1264">
        <f>+R5</f>
        <v>0</v>
      </c>
      <c r="S11" s="1275">
        <f>+S6</f>
        <v>225.51626140936841</v>
      </c>
      <c r="T11" s="1275">
        <f>R11*S11</f>
        <v>0</v>
      </c>
      <c r="U11" s="1270"/>
    </row>
    <row r="12" spans="1:21" ht="15.75" thickBot="1">
      <c r="A12" s="1270"/>
      <c r="B12" s="1278" t="s">
        <v>3313</v>
      </c>
      <c r="C12" s="1279">
        <f>+C10-C11</f>
        <v>0</v>
      </c>
      <c r="D12" s="1280" t="e">
        <f t="shared" ref="D12:E12" si="4">+D10-D11</f>
        <v>#DIV/0!</v>
      </c>
      <c r="E12" s="1258" t="e">
        <f t="shared" si="4"/>
        <v>#DIV/0!</v>
      </c>
      <c r="F12" s="1270"/>
      <c r="G12" s="1278" t="s">
        <v>3313</v>
      </c>
      <c r="H12" s="1279">
        <f>+H10-H11</f>
        <v>0</v>
      </c>
      <c r="I12" s="1280" t="e">
        <f t="shared" ref="I12:J12" si="5">+I10-I11</f>
        <v>#DIV/0!</v>
      </c>
      <c r="J12" s="1258" t="e">
        <f t="shared" si="5"/>
        <v>#DIV/0!</v>
      </c>
      <c r="K12" s="1270"/>
      <c r="L12" s="1278" t="s">
        <v>3313</v>
      </c>
      <c r="M12" s="1281">
        <f>+M10-M11</f>
        <v>0</v>
      </c>
      <c r="N12" s="1282" t="e">
        <f t="shared" ref="N12:O12" si="6">+N10-N11</f>
        <v>#DIV/0!</v>
      </c>
      <c r="O12" s="1259" t="e">
        <f t="shared" si="6"/>
        <v>#DIV/0!</v>
      </c>
      <c r="P12" s="1270"/>
      <c r="Q12" s="1278" t="s">
        <v>3313</v>
      </c>
      <c r="R12" s="1299">
        <f>+R10-R11</f>
        <v>0</v>
      </c>
      <c r="S12" s="1280" t="e">
        <f t="shared" ref="S12:T12" si="7">+S10-S11</f>
        <v>#DIV/0!</v>
      </c>
      <c r="T12" s="1260" t="e">
        <f t="shared" si="7"/>
        <v>#DIV/0!</v>
      </c>
      <c r="U12" s="1270"/>
    </row>
    <row r="13" spans="1:21" ht="15.75" thickTop="1">
      <c r="A13" s="1270"/>
      <c r="B13" s="1272"/>
      <c r="C13" s="1283"/>
      <c r="D13" s="1275"/>
      <c r="E13" s="1275"/>
      <c r="F13" s="1270"/>
      <c r="G13" s="1272"/>
      <c r="H13" s="1283"/>
      <c r="I13" s="1275"/>
      <c r="J13" s="1275"/>
      <c r="K13" s="1270"/>
      <c r="L13" s="1272"/>
      <c r="M13" s="1275"/>
      <c r="N13" s="1287"/>
      <c r="O13" s="1288"/>
      <c r="P13" s="1270"/>
      <c r="Q13" s="1272"/>
      <c r="R13" s="1270"/>
      <c r="S13" s="1275"/>
      <c r="T13" s="1275"/>
      <c r="U13" s="1270"/>
    </row>
    <row r="14" spans="1:21">
      <c r="A14" s="1270"/>
      <c r="B14" s="1271" t="s">
        <v>3316</v>
      </c>
      <c r="C14" s="1283"/>
      <c r="D14" s="1275"/>
      <c r="E14" s="1275"/>
      <c r="F14" s="1270"/>
      <c r="G14" s="1271" t="s">
        <v>3316</v>
      </c>
      <c r="H14" s="1283"/>
      <c r="I14" s="1275"/>
      <c r="J14" s="1275"/>
      <c r="K14" s="1270"/>
      <c r="L14" s="1271" t="s">
        <v>3316</v>
      </c>
      <c r="M14" s="1275"/>
      <c r="N14" s="1286"/>
      <c r="O14" s="1284"/>
      <c r="P14" s="1270"/>
      <c r="Q14" s="1271" t="s">
        <v>3316</v>
      </c>
      <c r="R14" s="1270"/>
      <c r="S14" s="1275"/>
      <c r="T14" s="1275"/>
      <c r="U14" s="1270"/>
    </row>
    <row r="15" spans="1:21">
      <c r="A15" s="1270"/>
      <c r="B15" s="1272" t="s">
        <v>3317</v>
      </c>
      <c r="C15" s="1268">
        <f>+C5</f>
        <v>0</v>
      </c>
      <c r="D15" s="1275">
        <f>+D6</f>
        <v>2814.5171912047472</v>
      </c>
      <c r="E15" s="1275">
        <f>+C15*D15</f>
        <v>0</v>
      </c>
      <c r="F15" s="1270"/>
      <c r="G15" s="1272" t="s">
        <v>3317</v>
      </c>
      <c r="H15" s="1268">
        <f>+H5</f>
        <v>0</v>
      </c>
      <c r="I15" s="1275">
        <f>+I6</f>
        <v>1773.5940903255239</v>
      </c>
      <c r="J15" s="1275">
        <f>+H15*I15</f>
        <v>0</v>
      </c>
      <c r="K15" s="1270"/>
      <c r="L15" s="1272" t="s">
        <v>3317</v>
      </c>
      <c r="M15" s="1262">
        <f>+M5</f>
        <v>0</v>
      </c>
      <c r="N15" s="1286">
        <f>+N6</f>
        <v>0.674741272708</v>
      </c>
      <c r="O15" s="1284">
        <f>+M15*N15</f>
        <v>0</v>
      </c>
      <c r="P15" s="1270"/>
      <c r="Q15" s="1272" t="s">
        <v>3317</v>
      </c>
      <c r="R15" s="1264">
        <f>+R5</f>
        <v>0</v>
      </c>
      <c r="S15" s="1275">
        <f>+S6</f>
        <v>225.51626140936841</v>
      </c>
      <c r="T15" s="1275">
        <f>+R15*S15</f>
        <v>0</v>
      </c>
      <c r="U15" s="1270"/>
    </row>
    <row r="16" spans="1:21">
      <c r="A16" s="1270"/>
      <c r="B16" s="1272" t="s">
        <v>3318</v>
      </c>
      <c r="C16" s="1289">
        <f>+C6</f>
        <v>789.97148645149491</v>
      </c>
      <c r="D16" s="1275">
        <f>+D6</f>
        <v>2814.5171912047472</v>
      </c>
      <c r="E16" s="1275">
        <f>C16*D16</f>
        <v>2223388.3291793005</v>
      </c>
      <c r="F16" s="1270"/>
      <c r="G16" s="1272" t="s">
        <v>3318</v>
      </c>
      <c r="H16" s="1289">
        <f>+H6</f>
        <v>821.38691254198102</v>
      </c>
      <c r="I16" s="1275">
        <f>+I6</f>
        <v>1773.5940903255239</v>
      </c>
      <c r="J16" s="1275">
        <f>H16*I16</f>
        <v>1456806.9739551854</v>
      </c>
      <c r="K16" s="1270"/>
      <c r="L16" s="1272" t="s">
        <v>3318</v>
      </c>
      <c r="M16" s="1290">
        <f>+M6</f>
        <v>3013949.6230535721</v>
      </c>
      <c r="N16" s="1286">
        <f>+N6</f>
        <v>0.674741272708</v>
      </c>
      <c r="O16" s="1284">
        <f>M16*N16</f>
        <v>2033636.2045369642</v>
      </c>
      <c r="P16" s="1270"/>
      <c r="Q16" s="1272" t="s">
        <v>3318</v>
      </c>
      <c r="R16" s="1300">
        <f>+R6</f>
        <v>12158.059742328067</v>
      </c>
      <c r="S16" s="1275">
        <f>+S6</f>
        <v>225.51626140936841</v>
      </c>
      <c r="T16" s="1275">
        <f>R16*S16</f>
        <v>2741840.1790815745</v>
      </c>
      <c r="U16" s="1270"/>
    </row>
    <row r="17" spans="1:21" ht="15.75" thickBot="1">
      <c r="A17" s="1270"/>
      <c r="B17" s="1278" t="s">
        <v>3316</v>
      </c>
      <c r="C17" s="1279">
        <f>+C15-C16</f>
        <v>-789.97148645149491</v>
      </c>
      <c r="D17" s="1280">
        <f t="shared" ref="D17:E17" si="8">+D15-D16</f>
        <v>0</v>
      </c>
      <c r="E17" s="1258">
        <f t="shared" si="8"/>
        <v>-2223388.3291793005</v>
      </c>
      <c r="F17" s="1270"/>
      <c r="G17" s="1278" t="s">
        <v>3316</v>
      </c>
      <c r="H17" s="1279">
        <f>+H15-H16</f>
        <v>-821.38691254198102</v>
      </c>
      <c r="I17" s="1280">
        <f t="shared" ref="I17:J17" si="9">+I15-I16</f>
        <v>0</v>
      </c>
      <c r="J17" s="1258">
        <f t="shared" si="9"/>
        <v>-1456806.9739551854</v>
      </c>
      <c r="K17" s="1270"/>
      <c r="L17" s="1278" t="s">
        <v>3316</v>
      </c>
      <c r="M17" s="1281">
        <f>+M15-M16</f>
        <v>-3013949.6230535721</v>
      </c>
      <c r="N17" s="1282">
        <f t="shared" ref="N17:O17" si="10">+N15-N16</f>
        <v>0</v>
      </c>
      <c r="O17" s="1259">
        <f t="shared" si="10"/>
        <v>-2033636.2045369642</v>
      </c>
      <c r="P17" s="1270"/>
      <c r="Q17" s="1278" t="s">
        <v>3316</v>
      </c>
      <c r="R17" s="1299">
        <f>+R15-R16</f>
        <v>-12158.059742328067</v>
      </c>
      <c r="S17" s="1280">
        <f t="shared" ref="S17:T17" si="11">+S15-S16</f>
        <v>0</v>
      </c>
      <c r="T17" s="1260">
        <f t="shared" si="11"/>
        <v>-2741840.1790815745</v>
      </c>
      <c r="U17" s="1270"/>
    </row>
    <row r="18" spans="1:21" ht="15.75" thickTop="1">
      <c r="A18" s="1270"/>
      <c r="B18" s="1270"/>
      <c r="C18" s="1283"/>
      <c r="D18" s="1275"/>
      <c r="E18" s="1265" t="e">
        <f>+E7-E12-E17</f>
        <v>#DIV/0!</v>
      </c>
      <c r="F18" s="1270"/>
      <c r="G18" s="1270"/>
      <c r="H18" s="1283"/>
      <c r="I18" s="1275"/>
      <c r="J18" s="1265" t="e">
        <f>+J7-J12-J17</f>
        <v>#DIV/0!</v>
      </c>
      <c r="K18" s="1270"/>
      <c r="L18" s="1270"/>
      <c r="M18" s="1275"/>
      <c r="N18" s="1286"/>
      <c r="O18" s="1266" t="e">
        <f>+O7-O12-O17</f>
        <v>#DIV/0!</v>
      </c>
      <c r="P18" s="1270"/>
      <c r="Q18" s="1270"/>
      <c r="R18" s="1270"/>
      <c r="S18" s="1275"/>
      <c r="T18" s="1265" t="e">
        <f>+T7-T12-T17</f>
        <v>#DIV/0!</v>
      </c>
      <c r="U18" s="1270"/>
    </row>
    <row r="19" spans="1:21">
      <c r="A19" s="1270"/>
      <c r="B19" s="1291" t="s">
        <v>3319</v>
      </c>
      <c r="C19" s="1283"/>
      <c r="D19" s="1275"/>
      <c r="E19" s="1275"/>
      <c r="F19" s="1270"/>
      <c r="G19" s="1291" t="s">
        <v>3319</v>
      </c>
      <c r="H19" s="1283"/>
      <c r="I19" s="1275"/>
      <c r="J19" s="1275"/>
      <c r="K19" s="1270"/>
      <c r="L19" s="1291" t="s">
        <v>3319</v>
      </c>
      <c r="M19" s="1275"/>
      <c r="N19" s="1286"/>
      <c r="O19" s="1284"/>
      <c r="P19" s="1270"/>
      <c r="Q19" s="1291" t="s">
        <v>3319</v>
      </c>
      <c r="R19" s="1270"/>
      <c r="S19" s="1275"/>
      <c r="T19" s="1275"/>
      <c r="U19" s="1270"/>
    </row>
    <row r="20" spans="1:21">
      <c r="A20" s="1270"/>
      <c r="B20" s="1272" t="s">
        <v>3320</v>
      </c>
      <c r="C20" s="1289">
        <f>MAX(C5:C6)</f>
        <v>789.97148645149491</v>
      </c>
      <c r="D20" s="1275" t="e">
        <f>MAX(D5:D6)</f>
        <v>#DIV/0!</v>
      </c>
      <c r="E20" s="1275" t="e">
        <f t="shared" ref="E20:E22" si="12">+C20*D20</f>
        <v>#DIV/0!</v>
      </c>
      <c r="F20" s="1270"/>
      <c r="G20" s="1272" t="s">
        <v>3320</v>
      </c>
      <c r="H20" s="1289">
        <f>MAX(H5:H6)</f>
        <v>821.38691254198102</v>
      </c>
      <c r="I20" s="1275" t="e">
        <f>MAX(I5:I6)</f>
        <v>#DIV/0!</v>
      </c>
      <c r="J20" s="1275" t="e">
        <f t="shared" ref="J20" si="13">+H20*I20</f>
        <v>#DIV/0!</v>
      </c>
      <c r="K20" s="1270"/>
      <c r="L20" s="1272" t="s">
        <v>3320</v>
      </c>
      <c r="M20" s="1290">
        <f>MAX(M5:M6)</f>
        <v>3013949.6230535721</v>
      </c>
      <c r="N20" s="1286" t="e">
        <f>MAX(N5:N6)</f>
        <v>#DIV/0!</v>
      </c>
      <c r="O20" s="1284" t="e">
        <f t="shared" ref="O20" si="14">+M20*N20</f>
        <v>#DIV/0!</v>
      </c>
      <c r="P20" s="1270"/>
      <c r="Q20" s="1272" t="s">
        <v>3320</v>
      </c>
      <c r="R20" s="1300">
        <f>MAX(R5:R6)</f>
        <v>12158.059742328067</v>
      </c>
      <c r="S20" s="1275" t="e">
        <f>MAX(S5:S6)</f>
        <v>#DIV/0!</v>
      </c>
      <c r="T20" s="1275" t="e">
        <f t="shared" ref="T20" si="15">+R20*S20</f>
        <v>#DIV/0!</v>
      </c>
      <c r="U20" s="1270"/>
    </row>
    <row r="21" spans="1:21">
      <c r="A21" s="1270"/>
      <c r="B21" s="1278" t="s">
        <v>3321</v>
      </c>
      <c r="C21" s="1289"/>
      <c r="D21" s="1275"/>
      <c r="E21" s="1292" t="e">
        <f>AVERAGE(E20,E22)</f>
        <v>#DIV/0!</v>
      </c>
      <c r="F21" s="1270"/>
      <c r="G21" s="1278" t="s">
        <v>3321</v>
      </c>
      <c r="H21" s="1289"/>
      <c r="I21" s="1275"/>
      <c r="J21" s="1292" t="e">
        <f>AVERAGE(J20,J22)</f>
        <v>#DIV/0!</v>
      </c>
      <c r="K21" s="1270"/>
      <c r="L21" s="1278" t="s">
        <v>3321</v>
      </c>
      <c r="M21" s="1290"/>
      <c r="N21" s="1286"/>
      <c r="O21" s="1293" t="e">
        <f>AVERAGE(O20,O22)</f>
        <v>#DIV/0!</v>
      </c>
      <c r="P21" s="1270"/>
      <c r="Q21" s="1278" t="s">
        <v>3321</v>
      </c>
      <c r="R21" s="1300"/>
      <c r="S21" s="1275"/>
      <c r="T21" s="1292" t="e">
        <f>AVERAGE(T20,T22)</f>
        <v>#DIV/0!</v>
      </c>
      <c r="U21" s="1270"/>
    </row>
    <row r="22" spans="1:21">
      <c r="A22" s="1270"/>
      <c r="B22" s="1272" t="s">
        <v>3322</v>
      </c>
      <c r="C22" s="1289">
        <f>MIN(C5:C6)</f>
        <v>0</v>
      </c>
      <c r="D22" s="1275" t="e">
        <f>MIN(D5:D6)</f>
        <v>#DIV/0!</v>
      </c>
      <c r="E22" s="1275" t="e">
        <f t="shared" si="12"/>
        <v>#DIV/0!</v>
      </c>
      <c r="F22" s="1270"/>
      <c r="G22" s="1272" t="s">
        <v>3322</v>
      </c>
      <c r="H22" s="1289">
        <f>MIN(H5:H6)</f>
        <v>0</v>
      </c>
      <c r="I22" s="1275" t="e">
        <f>MIN(I5:I6)</f>
        <v>#DIV/0!</v>
      </c>
      <c r="J22" s="1275" t="e">
        <f t="shared" ref="J22" si="16">+H22*I22</f>
        <v>#DIV/0!</v>
      </c>
      <c r="K22" s="1270"/>
      <c r="L22" s="1272" t="s">
        <v>3322</v>
      </c>
      <c r="M22" s="1290">
        <f>MIN(M5:M6)</f>
        <v>0</v>
      </c>
      <c r="N22" s="1286" t="e">
        <f>MIN(N5:N6)</f>
        <v>#DIV/0!</v>
      </c>
      <c r="O22" s="1284" t="e">
        <f t="shared" ref="O22" si="17">+M22*N22</f>
        <v>#DIV/0!</v>
      </c>
      <c r="P22" s="1270"/>
      <c r="Q22" s="1272" t="s">
        <v>3322</v>
      </c>
      <c r="R22" s="1300">
        <f>MIN(R5:R6)</f>
        <v>0</v>
      </c>
      <c r="S22" s="1275" t="e">
        <f>MIN(S5:S6)</f>
        <v>#DIV/0!</v>
      </c>
      <c r="T22" s="1275" t="e">
        <f t="shared" ref="T22" si="18">+R22*S22</f>
        <v>#DIV/0!</v>
      </c>
      <c r="U22" s="1270"/>
    </row>
    <row r="23" spans="1:21" ht="15.75" thickBot="1">
      <c r="A23" s="1270"/>
      <c r="B23" s="1278" t="s">
        <v>3323</v>
      </c>
      <c r="C23" s="1279">
        <f>+C20-C22</f>
        <v>789.97148645149491</v>
      </c>
      <c r="D23" s="1280" t="e">
        <f t="shared" ref="D23:E23" si="19">+D20-D22</f>
        <v>#DIV/0!</v>
      </c>
      <c r="E23" s="1280" t="e">
        <f t="shared" si="19"/>
        <v>#DIV/0!</v>
      </c>
      <c r="F23" s="1270"/>
      <c r="G23" s="1278" t="s">
        <v>3323</v>
      </c>
      <c r="H23" s="1279">
        <f>+H20-H22</f>
        <v>821.38691254198102</v>
      </c>
      <c r="I23" s="1280" t="e">
        <f t="shared" ref="I23:J23" si="20">+I20-I22</f>
        <v>#DIV/0!</v>
      </c>
      <c r="J23" s="1280" t="e">
        <f t="shared" si="20"/>
        <v>#DIV/0!</v>
      </c>
      <c r="K23" s="1270"/>
      <c r="L23" s="1278" t="s">
        <v>3323</v>
      </c>
      <c r="M23" s="1281">
        <f>+M20-M22</f>
        <v>3013949.6230535721</v>
      </c>
      <c r="N23" s="1282" t="e">
        <f t="shared" ref="N23:O23" si="21">+N20-N22</f>
        <v>#DIV/0!</v>
      </c>
      <c r="O23" s="1294" t="e">
        <f t="shared" si="21"/>
        <v>#DIV/0!</v>
      </c>
      <c r="P23" s="1270"/>
      <c r="Q23" s="1278" t="s">
        <v>3323</v>
      </c>
      <c r="R23" s="1299">
        <f>+R20-R22</f>
        <v>12158.059742328067</v>
      </c>
      <c r="S23" s="1280" t="e">
        <f t="shared" ref="S23:T23" si="22">+S20-S22</f>
        <v>#DIV/0!</v>
      </c>
      <c r="T23" s="1280" t="e">
        <f t="shared" si="22"/>
        <v>#DIV/0!</v>
      </c>
      <c r="U23" s="1270"/>
    </row>
    <row r="24" spans="1:21" ht="15.75" thickTop="1">
      <c r="A24" s="1270"/>
      <c r="B24" s="1270"/>
      <c r="C24" s="1270"/>
      <c r="D24" s="1270"/>
      <c r="E24" s="1270"/>
      <c r="F24" s="1270"/>
      <c r="G24" s="1270"/>
      <c r="H24" s="1270"/>
      <c r="I24" s="1270"/>
      <c r="J24" s="1270"/>
      <c r="K24" s="1270"/>
      <c r="L24" s="1270"/>
      <c r="M24" s="1270"/>
      <c r="N24" s="1270"/>
      <c r="O24" s="1270"/>
      <c r="P24" s="1270"/>
      <c r="Q24" s="1270"/>
      <c r="R24" s="1270"/>
      <c r="S24" s="1270"/>
      <c r="T24" s="1270"/>
      <c r="U24" s="1270"/>
    </row>
    <row r="25" spans="1:21">
      <c r="A25" s="1270"/>
      <c r="B25" s="1270"/>
      <c r="C25" s="1295" t="s">
        <v>3324</v>
      </c>
      <c r="D25" s="1270"/>
      <c r="E25" s="1296" t="e">
        <f>+E5/E20</f>
        <v>#DIV/0!</v>
      </c>
      <c r="F25" s="1270"/>
      <c r="G25" s="1270"/>
      <c r="H25" s="1295" t="s">
        <v>3324</v>
      </c>
      <c r="I25" s="1270"/>
      <c r="J25" s="1296" t="e">
        <f>+J5/J20</f>
        <v>#DIV/0!</v>
      </c>
      <c r="K25" s="1270"/>
      <c r="L25" s="1270"/>
      <c r="M25" s="1295" t="s">
        <v>3324</v>
      </c>
      <c r="N25" s="1270"/>
      <c r="O25" s="1296" t="e">
        <f>+O5/O20</f>
        <v>#DIV/0!</v>
      </c>
      <c r="P25" s="1270"/>
      <c r="Q25" s="1296"/>
      <c r="R25" s="1295" t="s">
        <v>3324</v>
      </c>
      <c r="S25" s="1270"/>
      <c r="T25" s="1296" t="e">
        <f>+T5/T20</f>
        <v>#DIV/0!</v>
      </c>
      <c r="U25" s="1270"/>
    </row>
    <row r="26" spans="1:21">
      <c r="A26" s="1270"/>
      <c r="B26" s="1270"/>
      <c r="C26" s="1295" t="s">
        <v>3325</v>
      </c>
      <c r="D26" s="1270"/>
      <c r="E26" s="1286" t="e">
        <f>+E5/E21</f>
        <v>#DIV/0!</v>
      </c>
      <c r="F26" s="1270"/>
      <c r="G26" s="1270"/>
      <c r="H26" s="1295" t="s">
        <v>3325</v>
      </c>
      <c r="I26" s="1270"/>
      <c r="J26" s="1286" t="e">
        <f>+J5/J21</f>
        <v>#DIV/0!</v>
      </c>
      <c r="K26" s="1270"/>
      <c r="L26" s="1270"/>
      <c r="M26" s="1295" t="s">
        <v>3325</v>
      </c>
      <c r="N26" s="1270"/>
      <c r="O26" s="1286" t="e">
        <f>+O5/O21</f>
        <v>#DIV/0!</v>
      </c>
      <c r="P26" s="1270"/>
      <c r="Q26" s="1286"/>
      <c r="R26" s="1295" t="s">
        <v>3325</v>
      </c>
      <c r="S26" s="1270"/>
      <c r="T26" s="1286" t="e">
        <f>+T5/T21</f>
        <v>#DIV/0!</v>
      </c>
      <c r="U26" s="1270"/>
    </row>
    <row r="27" spans="1:21">
      <c r="A27" s="1270"/>
      <c r="B27" s="1270"/>
      <c r="C27" s="1295" t="s">
        <v>3326</v>
      </c>
      <c r="D27" s="1270"/>
      <c r="E27" s="1296" t="e">
        <f>+E5/E22</f>
        <v>#DIV/0!</v>
      </c>
      <c r="F27" s="1270"/>
      <c r="G27" s="1270"/>
      <c r="H27" s="1295" t="s">
        <v>3326</v>
      </c>
      <c r="I27" s="1270"/>
      <c r="J27" s="1296" t="e">
        <f>+J5/J22</f>
        <v>#DIV/0!</v>
      </c>
      <c r="K27" s="1270"/>
      <c r="L27" s="1270"/>
      <c r="M27" s="1295" t="s">
        <v>3326</v>
      </c>
      <c r="N27" s="1270"/>
      <c r="O27" s="1296" t="e">
        <f>+O5/O22</f>
        <v>#DIV/0!</v>
      </c>
      <c r="P27" s="1270"/>
      <c r="Q27" s="1296"/>
      <c r="R27" s="1295" t="s">
        <v>3326</v>
      </c>
      <c r="S27" s="1270"/>
      <c r="T27" s="1296" t="e">
        <f>+T5/T22</f>
        <v>#DIV/0!</v>
      </c>
      <c r="U27" s="1270"/>
    </row>
    <row r="28" spans="1:21">
      <c r="A28" s="1270"/>
      <c r="B28" s="1270"/>
      <c r="C28" s="1270"/>
      <c r="D28" s="1270"/>
      <c r="E28" s="1270"/>
      <c r="F28" s="1270"/>
      <c r="G28" s="1270"/>
      <c r="H28" s="1270"/>
      <c r="I28" s="1270"/>
      <c r="J28" s="1270"/>
      <c r="K28" s="1270"/>
      <c r="L28" s="1270"/>
      <c r="M28" s="1270"/>
      <c r="N28" s="1270"/>
      <c r="O28" s="1270"/>
      <c r="P28" s="1270"/>
      <c r="Q28" s="1270"/>
      <c r="R28" s="1270"/>
      <c r="S28" s="1270"/>
      <c r="T28" s="1270"/>
      <c r="U28" s="1270"/>
    </row>
    <row r="29" spans="1:21">
      <c r="A29" s="1270"/>
      <c r="B29" s="1270"/>
      <c r="C29" s="1295" t="s">
        <v>3327</v>
      </c>
      <c r="D29" s="1270"/>
      <c r="E29" s="1296" t="e">
        <f>+E27-E25</f>
        <v>#DIV/0!</v>
      </c>
      <c r="F29" s="1297"/>
      <c r="G29" s="1297"/>
      <c r="H29" s="1295" t="s">
        <v>3327</v>
      </c>
      <c r="I29" s="1270"/>
      <c r="J29" s="1296" t="e">
        <f>+J27-J25</f>
        <v>#DIV/0!</v>
      </c>
      <c r="K29" s="1270"/>
      <c r="L29" s="1270"/>
      <c r="M29" s="1295" t="s">
        <v>3327</v>
      </c>
      <c r="N29" s="1270"/>
      <c r="O29" s="1296" t="e">
        <f>+O27-O25</f>
        <v>#DIV/0!</v>
      </c>
      <c r="P29" s="1270"/>
      <c r="Q29" s="1297"/>
      <c r="R29" s="1295" t="s">
        <v>3327</v>
      </c>
      <c r="S29" s="1270"/>
      <c r="T29" s="1296" t="e">
        <f>+T27-T25</f>
        <v>#DIV/0!</v>
      </c>
      <c r="U29" s="1270"/>
    </row>
    <row r="30" spans="1:21">
      <c r="A30" s="1270"/>
      <c r="B30" s="1270"/>
      <c r="C30" s="1270"/>
      <c r="D30" s="1270"/>
      <c r="E30" s="1270"/>
      <c r="F30" s="1270"/>
      <c r="G30" s="1270"/>
      <c r="H30" s="1270"/>
      <c r="I30" s="1270"/>
      <c r="J30" s="1270"/>
      <c r="K30" s="1270"/>
      <c r="L30" s="1270"/>
      <c r="M30" s="1270"/>
      <c r="N30" s="1270"/>
      <c r="O30" s="1270"/>
      <c r="P30" s="1270"/>
      <c r="Q30" s="1270"/>
      <c r="R30" s="1270"/>
      <c r="S30" s="1270"/>
      <c r="T30" s="1270"/>
      <c r="U30" s="1270"/>
    </row>
    <row r="31" spans="1:21">
      <c r="A31" s="1270"/>
      <c r="B31" s="1392" t="s">
        <v>3433</v>
      </c>
      <c r="C31" s="1393"/>
      <c r="D31" s="1394"/>
      <c r="E31" s="1270"/>
      <c r="F31" s="1270"/>
      <c r="G31" s="1392" t="s">
        <v>3433</v>
      </c>
      <c r="H31" s="1393"/>
      <c r="I31" s="1394"/>
      <c r="J31" s="1270"/>
      <c r="K31" s="1270"/>
      <c r="L31" s="1270"/>
      <c r="M31" s="1270"/>
      <c r="N31" s="1270"/>
      <c r="O31" s="1270"/>
      <c r="P31" s="1270"/>
      <c r="Q31" s="1270"/>
      <c r="R31" s="1270"/>
      <c r="S31" s="1270"/>
      <c r="T31" s="1270"/>
      <c r="U31" s="1270"/>
    </row>
    <row r="32" spans="1:21">
      <c r="A32" s="1270"/>
      <c r="B32" s="1386" t="s">
        <v>3432</v>
      </c>
      <c r="C32" s="1388">
        <f>+C17</f>
        <v>-789.97148645149491</v>
      </c>
      <c r="D32" s="1275">
        <f>+E32/C32</f>
        <v>1046.0849311461679</v>
      </c>
      <c r="E32" s="1275">
        <f>+Print_AAD!N78</f>
        <v>-826377.26801204798</v>
      </c>
      <c r="F32" s="1270"/>
      <c r="G32" s="1385"/>
      <c r="H32" s="1283"/>
      <c r="I32" s="1275"/>
      <c r="J32" s="1275"/>
      <c r="K32" s="1270"/>
      <c r="L32" s="1270"/>
      <c r="M32" s="1270"/>
      <c r="N32" s="1270"/>
      <c r="O32" s="1270"/>
      <c r="P32" s="1270"/>
      <c r="Q32" s="1270"/>
      <c r="R32" s="1270"/>
      <c r="S32" s="1270"/>
      <c r="T32" s="1270"/>
      <c r="U32" s="1270"/>
    </row>
    <row r="33" spans="1:21">
      <c r="A33" s="1270"/>
      <c r="B33" s="1387" t="s">
        <v>3434</v>
      </c>
      <c r="C33" s="1388">
        <f>+C17</f>
        <v>-789.97148645149491</v>
      </c>
      <c r="D33" s="1275">
        <f>+E33/C33</f>
        <v>359.10000000000008</v>
      </c>
      <c r="E33" s="1275">
        <f>+Print_AAD!N82</f>
        <v>-283678.76078473189</v>
      </c>
      <c r="F33" s="1270"/>
      <c r="G33" s="1387" t="s">
        <v>3434</v>
      </c>
      <c r="H33" s="1388">
        <f>+H17</f>
        <v>-821.38691254198102</v>
      </c>
      <c r="I33" s="1275">
        <f>+J33/H33</f>
        <v>192.01227698056661</v>
      </c>
      <c r="J33" s="1275">
        <f>+Print_AAD!N158</f>
        <v>-157716.3713592233</v>
      </c>
      <c r="K33" s="1270"/>
      <c r="L33" s="1270"/>
      <c r="M33" s="1270"/>
      <c r="N33" s="1270"/>
      <c r="O33" s="1270"/>
      <c r="P33" s="1270"/>
      <c r="Q33" s="1270"/>
      <c r="R33" s="1270"/>
      <c r="S33" s="1270"/>
      <c r="T33" s="1270"/>
      <c r="U33" s="1270"/>
    </row>
    <row r="34" spans="1:21" ht="15.75" thickBot="1">
      <c r="B34" s="1270"/>
      <c r="C34" s="1270"/>
      <c r="D34" s="1270"/>
      <c r="E34" s="1280">
        <f>SUM(E32:E33)</f>
        <v>-1110056.0287967799</v>
      </c>
      <c r="F34" s="1270"/>
      <c r="G34" s="1270"/>
      <c r="H34" s="1270"/>
      <c r="I34" s="1270"/>
      <c r="J34" s="1280">
        <f>SUM(J32:J33)</f>
        <v>-157716.3713592233</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+Print_AAD!J294</f>
        <v>0</v>
      </c>
      <c r="C4" s="1337" t="e">
        <f>D4/B4</f>
        <v>#DIV/0!</v>
      </c>
      <c r="D4" s="1345">
        <f>+Print_AAD!L294</f>
        <v>0</v>
      </c>
      <c r="F4" s="1345">
        <f>+Print_AAD!G294</f>
        <v>904747.85602033488</v>
      </c>
      <c r="G4" s="1337">
        <f>H4/F4</f>
        <v>0.35811007851031484</v>
      </c>
      <c r="H4" s="1345">
        <f>+Print_AAD!I294</f>
        <v>323999.32575148117</v>
      </c>
      <c r="I4" s="1346"/>
      <c r="J4" s="1347">
        <f t="shared" ref="J4:J11" si="0">+D4-H4</f>
        <v>-323999.32575148117</v>
      </c>
      <c r="L4" s="1347">
        <f t="shared" ref="L4:L9" si="1">(B4-F4)*G4</f>
        <v>-323999.32575148117</v>
      </c>
      <c r="N4" s="1347" t="e">
        <f t="shared" ref="N4:N9" si="2">B4*(C4-G4)</f>
        <v>#DIV/0!</v>
      </c>
    </row>
    <row r="5" spans="1:14">
      <c r="A5" s="1341" t="s">
        <v>178</v>
      </c>
      <c r="B5" s="1345">
        <f>+Print_AAD!J295</f>
        <v>0</v>
      </c>
      <c r="C5" s="1337" t="e">
        <f t="shared" ref="C5:C9" si="3">D5/B5</f>
        <v>#DIV/0!</v>
      </c>
      <c r="D5" s="1345">
        <f>+Print_AAD!L295</f>
        <v>0</v>
      </c>
      <c r="F5" s="1345">
        <f>+Print_AAD!G295</f>
        <v>508267.30606249219</v>
      </c>
      <c r="G5" s="1337">
        <f t="shared" ref="G5:G9" si="4">H5/F5</f>
        <v>0.2571723304036081</v>
      </c>
      <c r="H5" s="1345">
        <f>+Print_AAD!I295</f>
        <v>130712.28756805504</v>
      </c>
      <c r="I5" s="1346"/>
      <c r="J5" s="1347">
        <f t="shared" si="0"/>
        <v>-130712.28756805504</v>
      </c>
      <c r="L5" s="1347">
        <f t="shared" si="1"/>
        <v>-130712.28756805505</v>
      </c>
      <c r="N5" s="1347" t="e">
        <f t="shared" si="2"/>
        <v>#DIV/0!</v>
      </c>
    </row>
    <row r="6" spans="1:14">
      <c r="A6" s="1341" t="s">
        <v>179</v>
      </c>
      <c r="B6" s="1345">
        <f>+Print_AAD!J296</f>
        <v>0</v>
      </c>
      <c r="C6" s="1337" t="e">
        <f t="shared" si="3"/>
        <v>#DIV/0!</v>
      </c>
      <c r="D6" s="1345">
        <f>+Print_AAD!L296</f>
        <v>0</v>
      </c>
      <c r="F6" s="1345">
        <f>+Print_AAD!G296</f>
        <v>885419.2668777341</v>
      </c>
      <c r="G6" s="1337">
        <f t="shared" si="4"/>
        <v>0.24177651145507995</v>
      </c>
      <c r="H6" s="1345">
        <f>+Print_AAD!I296</f>
        <v>214073.58152081296</v>
      </c>
      <c r="I6" s="1346"/>
      <c r="J6" s="1347">
        <f t="shared" si="0"/>
        <v>-214073.58152081296</v>
      </c>
      <c r="L6" s="1347">
        <f t="shared" si="1"/>
        <v>-214073.58152081296</v>
      </c>
      <c r="N6" s="1347" t="e">
        <f t="shared" si="2"/>
        <v>#DIV/0!</v>
      </c>
    </row>
    <row r="7" spans="1:14">
      <c r="A7" s="1341" t="s">
        <v>180</v>
      </c>
      <c r="B7" s="1345">
        <f>+Print_AAD!J297</f>
        <v>0</v>
      </c>
      <c r="C7" s="1337" t="e">
        <f t="shared" si="3"/>
        <v>#DIV/0!</v>
      </c>
      <c r="D7" s="1345">
        <f>+Print_AAD!L297</f>
        <v>0</v>
      </c>
      <c r="F7" s="1345">
        <f>+Print_AAD!G297</f>
        <v>625392.17243564595</v>
      </c>
      <c r="G7" s="1337">
        <f t="shared" si="4"/>
        <v>0.32393223852119102</v>
      </c>
      <c r="H7" s="1345">
        <f>+Print_AAD!I297</f>
        <v>202584.68637070947</v>
      </c>
      <c r="I7" s="1346"/>
      <c r="J7" s="1347">
        <f t="shared" si="0"/>
        <v>-202584.68637070947</v>
      </c>
      <c r="L7" s="1347">
        <f t="shared" si="1"/>
        <v>-202584.68637070947</v>
      </c>
      <c r="N7" s="1347" t="e">
        <f t="shared" si="2"/>
        <v>#DIV/0!</v>
      </c>
    </row>
    <row r="8" spans="1:14">
      <c r="A8" s="1341" t="s">
        <v>181</v>
      </c>
      <c r="B8" s="1345">
        <f>+Print_AAD!J298</f>
        <v>0</v>
      </c>
      <c r="C8" s="1337" t="e">
        <f t="shared" si="3"/>
        <v>#DIV/0!</v>
      </c>
      <c r="D8" s="1345">
        <f>+Print_AAD!L298</f>
        <v>0</v>
      </c>
      <c r="F8" s="1345">
        <f>+Print_AAD!G298</f>
        <v>194068.35946908579</v>
      </c>
      <c r="G8" s="1337">
        <f t="shared" si="4"/>
        <v>0.28113730707120016</v>
      </c>
      <c r="H8" s="1345">
        <f>+Print_AAD!I298</f>
        <v>54559.855968864424</v>
      </c>
      <c r="I8" s="1346"/>
      <c r="J8" s="1347">
        <f t="shared" si="0"/>
        <v>-54559.855968864424</v>
      </c>
      <c r="L8" s="1347">
        <f t="shared" si="1"/>
        <v>-54559.855968864424</v>
      </c>
      <c r="N8" s="1347" t="e">
        <f t="shared" si="2"/>
        <v>#DIV/0!</v>
      </c>
    </row>
    <row r="9" spans="1:14">
      <c r="A9" s="1341" t="s">
        <v>182</v>
      </c>
      <c r="B9" s="1345">
        <f>+Print_AAD!J299</f>
        <v>0</v>
      </c>
      <c r="C9" s="1337" t="e">
        <f t="shared" si="3"/>
        <v>#DIV/0!</v>
      </c>
      <c r="D9" s="1345">
        <f>+Print_AAD!L299</f>
        <v>0</v>
      </c>
      <c r="F9" s="1345">
        <f>+Print_AAD!G299</f>
        <v>580080.78348232945</v>
      </c>
      <c r="G9" s="1337">
        <f t="shared" si="4"/>
        <v>0.18194830719212418</v>
      </c>
      <c r="H9" s="1345">
        <f>+Print_AAD!I299</f>
        <v>105544.71658929095</v>
      </c>
      <c r="I9" s="1346"/>
      <c r="J9" s="1347">
        <f t="shared" si="0"/>
        <v>-105544.71658929095</v>
      </c>
      <c r="L9" s="1347">
        <f t="shared" si="1"/>
        <v>-105544.71658929095</v>
      </c>
      <c r="N9" s="1347" t="e">
        <f t="shared" si="2"/>
        <v>#DIV/0!</v>
      </c>
    </row>
    <row r="10" spans="1:14">
      <c r="A10" s="1341" t="s">
        <v>183</v>
      </c>
      <c r="B10" s="1345"/>
      <c r="C10" s="1337"/>
      <c r="D10" s="1345">
        <f>+Print_AAD!L301</f>
        <v>0</v>
      </c>
      <c r="F10" s="1345"/>
      <c r="G10" s="1337"/>
      <c r="H10" s="1345">
        <f>+Print_AAD!I301</f>
        <v>61284.011264191715</v>
      </c>
      <c r="I10" s="1346"/>
      <c r="J10" s="1347">
        <f t="shared" si="0"/>
        <v>-61284.011264191715</v>
      </c>
      <c r="L10" s="1347">
        <f>(H10/(H4+H5+H6+H7+H8+H9)*(D4+D5+D6+D7+D8+D9))-D10</f>
        <v>0</v>
      </c>
      <c r="N10" s="1347">
        <f>+J10-L10</f>
        <v>-61284.011264191715</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3697975.7443476226</v>
      </c>
      <c r="G12" s="1349">
        <f>+H12/F12</f>
        <v>0.29550179357008854</v>
      </c>
      <c r="H12" s="1348">
        <f>SUM(H4:H11)</f>
        <v>1092758.4650334057</v>
      </c>
      <c r="J12" s="1348">
        <f>SUM(J4:J11)</f>
        <v>-1092758.4650334057</v>
      </c>
      <c r="L12" s="1348">
        <f>SUM(L4:L11)</f>
        <v>-1031474.453769214</v>
      </c>
      <c r="N12" s="1348" t="e">
        <f>SUM(N4:N11)</f>
        <v>#DIV/0!</v>
      </c>
    </row>
    <row r="13" spans="1:14">
      <c r="B13" s="1347"/>
      <c r="C13" s="1350"/>
      <c r="D13" s="1347"/>
      <c r="F13" s="1347"/>
      <c r="G13" s="1350"/>
      <c r="H13" s="1347"/>
      <c r="J13" s="1347"/>
      <c r="L13" s="1347"/>
      <c r="N13" s="1347"/>
    </row>
    <row r="14" spans="1:14">
      <c r="A14" s="1341" t="s">
        <v>186</v>
      </c>
      <c r="B14" s="1345">
        <f>+Print_AAD!J306</f>
        <v>0</v>
      </c>
      <c r="C14" s="1337" t="e">
        <f t="shared" ref="C14:C15" si="6">D14/B14</f>
        <v>#DIV/0!</v>
      </c>
      <c r="D14" s="1345">
        <f>+Print_AAD!L306</f>
        <v>0</v>
      </c>
      <c r="F14" s="1345">
        <f>+Print_AAD!G306</f>
        <v>476200.09204043588</v>
      </c>
      <c r="G14" s="1337">
        <f t="shared" ref="G14:G15" si="7">H14/F14</f>
        <v>0.1816444838198383</v>
      </c>
      <c r="H14" s="1345">
        <f>+Print_AAD!I306</f>
        <v>86499.119913644463</v>
      </c>
      <c r="I14" s="1346"/>
      <c r="J14" s="1347">
        <f>+D14-H14</f>
        <v>-86499.119913644463</v>
      </c>
      <c r="L14" s="1347">
        <f>(B14-F14)*G14</f>
        <v>-86499.119913644463</v>
      </c>
      <c r="N14" s="1347" t="e">
        <f>B14*(C14-G14)</f>
        <v>#DIV/0!</v>
      </c>
    </row>
    <row r="15" spans="1:14">
      <c r="A15" s="1341" t="s">
        <v>187</v>
      </c>
      <c r="B15" s="1345">
        <f>+Print_AAD!J307</f>
        <v>0</v>
      </c>
      <c r="C15" s="1337" t="e">
        <f t="shared" si="6"/>
        <v>#DIV/0!</v>
      </c>
      <c r="D15" s="1345">
        <f>+Print_AAD!L307</f>
        <v>0</v>
      </c>
      <c r="F15" s="1345">
        <f>+Print_AAD!G307</f>
        <v>213444.52442519832</v>
      </c>
      <c r="G15" s="1337">
        <f t="shared" si="7"/>
        <v>0.29130399895825637</v>
      </c>
      <c r="H15" s="1345">
        <f>+Print_AAD!I307</f>
        <v>62177.243520803495</v>
      </c>
      <c r="I15" s="1346"/>
      <c r="J15" s="1347">
        <f>+D15-H15</f>
        <v>-62177.243520803495</v>
      </c>
      <c r="L15" s="1347">
        <f>(B15-F15)*G15</f>
        <v>-62177.243520803502</v>
      </c>
      <c r="N15" s="1347" t="e">
        <f>B15*(C15-G15)</f>
        <v>#DIV/0!</v>
      </c>
    </row>
    <row r="16" spans="1:14">
      <c r="A16" s="1341" t="s">
        <v>188</v>
      </c>
      <c r="B16" s="1351">
        <f>SUM(B14:B15)</f>
        <v>0</v>
      </c>
      <c r="C16" s="1352" t="e">
        <f>+D16/B16</f>
        <v>#DIV/0!</v>
      </c>
      <c r="D16" s="1351">
        <f>SUM(D14:D15)</f>
        <v>0</v>
      </c>
      <c r="F16" s="1351">
        <f>SUM(F14:F15)</f>
        <v>689644.6164656342</v>
      </c>
      <c r="G16" s="1352">
        <f>+H16/F16</f>
        <v>0.21558402673597421</v>
      </c>
      <c r="H16" s="1351">
        <f>SUM(H14:H15)</f>
        <v>148676.36343444797</v>
      </c>
      <c r="J16" s="1351">
        <f>SUM(J14:J15)</f>
        <v>-148676.36343444797</v>
      </c>
      <c r="L16" s="1351">
        <f>SUM(L14:L15)</f>
        <v>-148676.36343444797</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4387620.3608132564</v>
      </c>
      <c r="G18" s="1354">
        <f>+H18/F18</f>
        <v>0.28294034724502704</v>
      </c>
      <c r="H18" s="1353">
        <f>+H12+H16</f>
        <v>1241434.8284678536</v>
      </c>
      <c r="J18" s="1353">
        <f>+J12+J16</f>
        <v>-1241434.8284678536</v>
      </c>
      <c r="L18" s="1353">
        <f>+L12+L16</f>
        <v>-1180150.8172036619</v>
      </c>
      <c r="N18" s="1353" t="e">
        <f>+N12+N16</f>
        <v>#DIV/0!</v>
      </c>
    </row>
    <row r="19" spans="1:14" ht="15.75" thickTop="1"/>
    <row r="20" spans="1:14" ht="15.75" thickBot="1">
      <c r="D20" s="1355"/>
      <c r="E20" s="1356" t="s">
        <v>3416</v>
      </c>
      <c r="F20" s="1353">
        <f>+B18-F18</f>
        <v>-4387620.3608132564</v>
      </c>
      <c r="N20" s="1355"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0"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4" t="s">
        <v>3269</v>
      </c>
      <c r="B1" s="1189" t="s">
        <v>265</v>
      </c>
      <c r="C1" s="1189" t="s">
        <v>266</v>
      </c>
      <c r="D1" s="1190" t="s">
        <v>3263</v>
      </c>
      <c r="E1" s="1190" t="s">
        <v>3264</v>
      </c>
      <c r="F1" s="1190" t="s">
        <v>3265</v>
      </c>
      <c r="G1" s="1189" t="s">
        <v>270</v>
      </c>
      <c r="H1" s="1189" t="s">
        <v>271</v>
      </c>
      <c r="I1" s="1189" t="s">
        <v>272</v>
      </c>
      <c r="J1" s="1375" t="s">
        <v>3266</v>
      </c>
      <c r="K1" s="1375" t="s">
        <v>3267</v>
      </c>
      <c r="L1" s="1375"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4" t="s">
        <v>3269</v>
      </c>
    </row>
    <row r="2" spans="1:27" ht="15" customHeight="1">
      <c r="A2" s="1372"/>
      <c r="B2" s="1398"/>
      <c r="C2" s="1401"/>
      <c r="D2" s="1399"/>
      <c r="E2" s="1399"/>
      <c r="F2" s="1399"/>
      <c r="G2" s="1398"/>
      <c r="H2" s="1398"/>
      <c r="I2" s="1399"/>
      <c r="J2" s="1400"/>
      <c r="K2" s="1400"/>
      <c r="L2" s="1400"/>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2">
        <v>44721</v>
      </c>
    </row>
    <row r="3" spans="1:27" ht="15" customHeight="1">
      <c r="A3" s="1373"/>
      <c r="B3" s="1398"/>
      <c r="C3" s="1401"/>
      <c r="D3" s="1399"/>
      <c r="E3" s="1399"/>
      <c r="F3" s="1399"/>
      <c r="G3" s="1398"/>
      <c r="H3" s="1398"/>
      <c r="I3" s="1399"/>
      <c r="J3" s="1400"/>
      <c r="K3" s="1400"/>
      <c r="L3" s="1400"/>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3">
        <v>0.4375</v>
      </c>
    </row>
    <row r="4" spans="1:27" ht="15" customHeight="1">
      <c r="A4" s="1374"/>
      <c r="B4" s="1398"/>
      <c r="C4" s="1401"/>
      <c r="D4" s="1399"/>
      <c r="E4" s="1399"/>
      <c r="F4" s="1399"/>
      <c r="G4" s="1398"/>
      <c r="H4" s="1398"/>
      <c r="I4" s="1399"/>
      <c r="J4" s="1400"/>
      <c r="K4" s="1400"/>
      <c r="L4" s="1400"/>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4" t="s">
        <v>3435</v>
      </c>
    </row>
    <row r="5" spans="1:27" ht="15.75" customHeight="1">
      <c r="A5" s="1374"/>
      <c r="B5" s="1398"/>
      <c r="C5" s="1401"/>
      <c r="D5" s="1399"/>
      <c r="E5" s="1399"/>
      <c r="F5" s="1399"/>
      <c r="G5" s="1398"/>
      <c r="H5" s="1398"/>
      <c r="I5" s="1399"/>
      <c r="J5" s="1400"/>
      <c r="K5" s="1400"/>
      <c r="L5" s="1400"/>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4"/>
      <c r="B6" s="1398"/>
      <c r="C6" s="1401"/>
      <c r="D6" s="1399"/>
      <c r="E6" s="1399"/>
      <c r="F6" s="1399"/>
      <c r="G6" s="1398"/>
      <c r="H6" s="1398"/>
      <c r="I6" s="1399"/>
      <c r="J6" s="1400"/>
      <c r="K6" s="1400"/>
      <c r="L6" s="1400"/>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4" t="s">
        <v>3436</v>
      </c>
    </row>
    <row r="7" spans="1:27" ht="15" customHeight="1">
      <c r="B7" s="1398"/>
      <c r="C7" s="1401"/>
      <c r="D7" s="1399"/>
      <c r="E7" s="1399"/>
      <c r="F7" s="1399"/>
      <c r="G7" s="1398"/>
      <c r="H7" s="1398"/>
      <c r="I7" s="1399"/>
      <c r="J7" s="1400"/>
      <c r="K7" s="1400"/>
      <c r="L7" s="1400"/>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8"/>
      <c r="C8" s="1401"/>
      <c r="D8" s="1399"/>
      <c r="E8" s="1399"/>
      <c r="F8" s="1399"/>
      <c r="G8" s="1398"/>
      <c r="H8" s="1398"/>
      <c r="I8" s="1399"/>
      <c r="J8" s="1400"/>
      <c r="K8" s="1400"/>
      <c r="L8" s="1400"/>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8"/>
      <c r="C9" s="1401"/>
      <c r="D9" s="1399"/>
      <c r="E9" s="1399"/>
      <c r="F9" s="1399"/>
      <c r="G9" s="1398"/>
      <c r="H9" s="1398"/>
      <c r="I9" s="1399"/>
      <c r="J9" s="1400"/>
      <c r="K9" s="1400"/>
      <c r="L9" s="1400"/>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8"/>
      <c r="C10" s="1401"/>
      <c r="D10" s="1399"/>
      <c r="E10" s="1399"/>
      <c r="F10" s="1399"/>
      <c r="G10" s="1398"/>
      <c r="H10" s="1398"/>
      <c r="I10" s="1399"/>
      <c r="J10" s="1400"/>
      <c r="K10" s="1400"/>
      <c r="L10" s="1400"/>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8"/>
      <c r="C11" s="1401"/>
      <c r="D11" s="1399"/>
      <c r="E11" s="1399"/>
      <c r="F11" s="1399"/>
      <c r="G11" s="1398"/>
      <c r="H11" s="1398"/>
      <c r="I11" s="1399"/>
      <c r="J11" s="1400"/>
      <c r="K11" s="1400"/>
      <c r="L11" s="1400"/>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8"/>
      <c r="C12" s="1401"/>
      <c r="D12" s="1399"/>
      <c r="E12" s="1399"/>
      <c r="F12" s="1399"/>
      <c r="G12" s="1398"/>
      <c r="H12" s="1398"/>
      <c r="I12" s="1399"/>
      <c r="J12" s="1400"/>
      <c r="K12" s="1400"/>
      <c r="L12" s="1400"/>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8"/>
      <c r="C13" s="1401"/>
      <c r="D13" s="1399"/>
      <c r="E13" s="1399"/>
      <c r="F13" s="1399"/>
      <c r="G13" s="1398"/>
      <c r="H13" s="1398"/>
      <c r="I13" s="1399"/>
      <c r="J13" s="1400"/>
      <c r="K13" s="1400"/>
      <c r="L13" s="1400"/>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8"/>
      <c r="C14" s="1401"/>
      <c r="D14" s="1399"/>
      <c r="E14" s="1399"/>
      <c r="F14" s="1399"/>
      <c r="G14" s="1398"/>
      <c r="H14" s="1398"/>
      <c r="I14" s="1399"/>
      <c r="J14" s="1400"/>
      <c r="K14" s="1400"/>
      <c r="L14" s="1400"/>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8"/>
      <c r="C15" s="1401"/>
      <c r="D15" s="1399"/>
      <c r="E15" s="1399"/>
      <c r="F15" s="1399"/>
      <c r="G15" s="1398"/>
      <c r="H15" s="1398"/>
      <c r="I15" s="1399"/>
      <c r="J15" s="1400"/>
      <c r="K15" s="1400"/>
      <c r="L15" s="1400"/>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8"/>
      <c r="C16" s="1401"/>
      <c r="D16" s="1399"/>
      <c r="E16" s="1399"/>
      <c r="F16" s="1399"/>
      <c r="G16" s="1398"/>
      <c r="H16" s="1398"/>
      <c r="I16" s="1399"/>
      <c r="J16" s="1400"/>
      <c r="K16" s="1400"/>
      <c r="L16" s="1400"/>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8"/>
      <c r="C17" s="1401"/>
      <c r="D17" s="1399"/>
      <c r="E17" s="1399"/>
      <c r="F17" s="1399"/>
      <c r="G17" s="1398"/>
      <c r="H17" s="1398"/>
      <c r="I17" s="1399"/>
      <c r="J17" s="1400"/>
      <c r="K17" s="1400"/>
      <c r="L17" s="1400"/>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8"/>
      <c r="C18" s="1401"/>
      <c r="D18" s="1399"/>
      <c r="E18" s="1399"/>
      <c r="F18" s="1399"/>
      <c r="G18" s="1398"/>
      <c r="H18" s="1398"/>
      <c r="I18" s="1399"/>
      <c r="J18" s="1400"/>
      <c r="K18" s="1400"/>
      <c r="L18" s="1400"/>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8"/>
      <c r="C19" s="1401"/>
      <c r="D19" s="1399"/>
      <c r="E19" s="1399"/>
      <c r="F19" s="1399"/>
      <c r="G19" s="1398"/>
      <c r="H19" s="1398"/>
      <c r="I19" s="1399"/>
      <c r="J19" s="1400"/>
      <c r="K19" s="1400"/>
      <c r="L19" s="1400"/>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8"/>
      <c r="C20" s="1401"/>
      <c r="D20" s="1399"/>
      <c r="E20" s="1399"/>
      <c r="F20" s="1399"/>
      <c r="G20" s="1398"/>
      <c r="H20" s="1398"/>
      <c r="I20" s="1399"/>
      <c r="J20" s="1400"/>
      <c r="K20" s="1400"/>
      <c r="L20" s="1400"/>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8"/>
      <c r="C21" s="1401"/>
      <c r="D21" s="1399"/>
      <c r="E21" s="1399"/>
      <c r="F21" s="1399"/>
      <c r="G21" s="1398"/>
      <c r="H21" s="1398"/>
      <c r="I21" s="1399"/>
      <c r="J21" s="1400"/>
      <c r="K21" s="1400"/>
      <c r="L21" s="1400"/>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8"/>
      <c r="C22" s="1401"/>
      <c r="D22" s="1399"/>
      <c r="E22" s="1399"/>
      <c r="F22" s="1399"/>
      <c r="G22" s="1398"/>
      <c r="H22" s="1398"/>
      <c r="I22" s="1399"/>
      <c r="J22" s="1400"/>
      <c r="K22" s="1400"/>
      <c r="L22" s="1400"/>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8"/>
      <c r="C23" s="1401"/>
      <c r="D23" s="1399"/>
      <c r="E23" s="1399"/>
      <c r="F23" s="1399"/>
      <c r="G23" s="1398"/>
      <c r="H23" s="1398"/>
      <c r="I23" s="1399"/>
      <c r="J23" s="1400"/>
      <c r="K23" s="1400"/>
      <c r="L23" s="1400"/>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8"/>
      <c r="C24" s="1401"/>
      <c r="D24" s="1399"/>
      <c r="E24" s="1399"/>
      <c r="F24" s="1399"/>
      <c r="G24" s="1398"/>
      <c r="H24" s="1398"/>
      <c r="I24" s="1399"/>
      <c r="J24" s="1400"/>
      <c r="K24" s="1400"/>
      <c r="L24" s="1400"/>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8"/>
      <c r="C25" s="1401"/>
      <c r="D25" s="1399"/>
      <c r="E25" s="1399"/>
      <c r="F25" s="1399"/>
      <c r="G25" s="1398"/>
      <c r="H25" s="1398"/>
      <c r="I25" s="1399"/>
      <c r="J25" s="1400"/>
      <c r="K25" s="1400"/>
      <c r="L25" s="1400"/>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8"/>
      <c r="C26" s="1401"/>
      <c r="D26" s="1399"/>
      <c r="E26" s="1399"/>
      <c r="F26" s="1399"/>
      <c r="G26" s="1398"/>
      <c r="H26" s="1398"/>
      <c r="I26" s="1399"/>
      <c r="J26" s="1400"/>
      <c r="K26" s="1400"/>
      <c r="L26" s="1400"/>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8"/>
      <c r="C27" s="1401"/>
      <c r="D27" s="1399"/>
      <c r="E27" s="1399"/>
      <c r="F27" s="1399"/>
      <c r="G27" s="1398"/>
      <c r="H27" s="1398"/>
      <c r="I27" s="1399"/>
      <c r="J27" s="1400"/>
      <c r="K27" s="1400"/>
      <c r="L27" s="1400"/>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8"/>
      <c r="C28" s="1401"/>
      <c r="D28" s="1399"/>
      <c r="E28" s="1399"/>
      <c r="F28" s="1399"/>
      <c r="G28" s="1398"/>
      <c r="H28" s="1398"/>
      <c r="I28" s="1399"/>
      <c r="J28" s="1400"/>
      <c r="K28" s="1400"/>
      <c r="L28" s="1400"/>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8"/>
      <c r="C29" s="1401"/>
      <c r="D29" s="1399"/>
      <c r="E29" s="1399"/>
      <c r="F29" s="1399"/>
      <c r="G29" s="1398"/>
      <c r="H29" s="1398"/>
      <c r="I29" s="1399"/>
      <c r="J29" s="1400"/>
      <c r="K29" s="1400"/>
      <c r="L29" s="1400"/>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8"/>
      <c r="C30" s="1401"/>
      <c r="D30" s="1399"/>
      <c r="E30" s="1399"/>
      <c r="F30" s="1399"/>
      <c r="G30" s="1398"/>
      <c r="H30" s="1398"/>
      <c r="I30" s="1399"/>
      <c r="J30" s="1400"/>
      <c r="K30" s="1400"/>
      <c r="L30" s="1400"/>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8"/>
      <c r="C31" s="1401"/>
      <c r="D31" s="1399"/>
      <c r="E31" s="1399"/>
      <c r="F31" s="1399"/>
      <c r="G31" s="1398"/>
      <c r="H31" s="1398"/>
      <c r="I31" s="1399"/>
      <c r="J31" s="1400"/>
      <c r="K31" s="1400"/>
      <c r="L31" s="1400"/>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8"/>
      <c r="C32" s="1401"/>
      <c r="D32" s="1399"/>
      <c r="E32" s="1399"/>
      <c r="F32" s="1399"/>
      <c r="G32" s="1398"/>
      <c r="H32" s="1398"/>
      <c r="I32" s="1399"/>
      <c r="J32" s="1400"/>
      <c r="K32" s="1400"/>
      <c r="L32" s="1400"/>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8"/>
      <c r="C33" s="1401"/>
      <c r="D33" s="1399"/>
      <c r="E33" s="1399"/>
      <c r="F33" s="1399"/>
      <c r="G33" s="1398"/>
      <c r="H33" s="1398"/>
      <c r="I33" s="1399"/>
      <c r="J33" s="1400"/>
      <c r="K33" s="1400"/>
      <c r="L33" s="1400"/>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8"/>
      <c r="C34" s="1401"/>
      <c r="D34" s="1399"/>
      <c r="E34" s="1399"/>
      <c r="F34" s="1399"/>
      <c r="G34" s="1398"/>
      <c r="H34" s="1398"/>
      <c r="I34" s="1399"/>
      <c r="J34" s="1400"/>
      <c r="K34" s="1400"/>
      <c r="L34" s="1400"/>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8"/>
      <c r="C35" s="1401"/>
      <c r="D35" s="1399"/>
      <c r="E35" s="1399"/>
      <c r="F35" s="1399"/>
      <c r="G35" s="1398"/>
      <c r="H35" s="1398"/>
      <c r="I35" s="1399"/>
      <c r="J35" s="1400"/>
      <c r="K35" s="1400"/>
      <c r="L35" s="1400"/>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8"/>
      <c r="C36" s="1401"/>
      <c r="D36" s="1399"/>
      <c r="E36" s="1399"/>
      <c r="F36" s="1399"/>
      <c r="G36" s="1398"/>
      <c r="H36" s="1398"/>
      <c r="I36" s="1399"/>
      <c r="J36" s="1400"/>
      <c r="K36" s="1400"/>
      <c r="L36" s="1400"/>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8"/>
      <c r="C37" s="1401"/>
      <c r="D37" s="1399"/>
      <c r="E37" s="1399"/>
      <c r="F37" s="1399"/>
      <c r="G37" s="1398"/>
      <c r="H37" s="1398"/>
      <c r="I37" s="1399"/>
      <c r="J37" s="1400"/>
      <c r="K37" s="1400"/>
      <c r="L37" s="1400"/>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8"/>
      <c r="C38" s="1401"/>
      <c r="D38" s="1399"/>
      <c r="E38" s="1399"/>
      <c r="F38" s="1399"/>
      <c r="G38" s="1398"/>
      <c r="H38" s="1398"/>
      <c r="I38" s="1399"/>
      <c r="J38" s="1400"/>
      <c r="K38" s="1400"/>
      <c r="L38" s="1400"/>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8"/>
      <c r="C39" s="1401"/>
      <c r="D39" s="1399"/>
      <c r="E39" s="1399"/>
      <c r="F39" s="1399"/>
      <c r="G39" s="1398"/>
      <c r="H39" s="1398"/>
      <c r="I39" s="1399"/>
      <c r="J39" s="1400"/>
      <c r="K39" s="1400"/>
      <c r="L39" s="1400"/>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8"/>
      <c r="C40" s="1401"/>
      <c r="D40" s="1399"/>
      <c r="E40" s="1399"/>
      <c r="F40" s="1399"/>
      <c r="G40" s="1398"/>
      <c r="H40" s="1398"/>
      <c r="I40" s="1399"/>
      <c r="J40" s="1400"/>
      <c r="K40" s="1400"/>
      <c r="L40" s="1400"/>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8"/>
      <c r="C41" s="1401"/>
      <c r="D41" s="1399"/>
      <c r="E41" s="1399"/>
      <c r="F41" s="1399"/>
      <c r="G41" s="1398"/>
      <c r="H41" s="1398"/>
      <c r="I41" s="1399"/>
      <c r="J41" s="1400"/>
      <c r="K41" s="1400"/>
      <c r="L41" s="1400"/>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8"/>
      <c r="C42" s="1401"/>
      <c r="D42" s="1399"/>
      <c r="E42" s="1399"/>
      <c r="F42" s="1399"/>
      <c r="G42" s="1398"/>
      <c r="H42" s="1398"/>
      <c r="I42" s="1399"/>
      <c r="J42" s="1400"/>
      <c r="K42" s="1400"/>
      <c r="L42" s="1400"/>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8"/>
      <c r="C43" s="1401"/>
      <c r="D43" s="1399"/>
      <c r="E43" s="1399"/>
      <c r="F43" s="1399"/>
      <c r="G43" s="1398"/>
      <c r="H43" s="1398"/>
      <c r="I43" s="1399"/>
      <c r="J43" s="1400"/>
      <c r="K43" s="1400"/>
      <c r="L43" s="1400"/>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8"/>
      <c r="C44" s="1401"/>
      <c r="D44" s="1399"/>
      <c r="E44" s="1399"/>
      <c r="F44" s="1399"/>
      <c r="G44" s="1398"/>
      <c r="H44" s="1398"/>
      <c r="I44" s="1399"/>
      <c r="J44" s="1400"/>
      <c r="K44" s="1400"/>
      <c r="L44" s="1400"/>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8"/>
      <c r="C45" s="1401"/>
      <c r="D45" s="1399"/>
      <c r="E45" s="1399"/>
      <c r="F45" s="1399"/>
      <c r="G45" s="1398"/>
      <c r="H45" s="1398"/>
      <c r="I45" s="1399"/>
      <c r="J45" s="1400"/>
      <c r="K45" s="1400"/>
      <c r="L45" s="1400"/>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8"/>
      <c r="C46" s="1401"/>
      <c r="D46" s="1399"/>
      <c r="E46" s="1399"/>
      <c r="F46" s="1399"/>
      <c r="G46" s="1398"/>
      <c r="H46" s="1398"/>
      <c r="I46" s="1399"/>
      <c r="J46" s="1400"/>
      <c r="K46" s="1400"/>
      <c r="L46" s="1400"/>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8"/>
      <c r="C47" s="1401"/>
      <c r="D47" s="1399"/>
      <c r="E47" s="1399"/>
      <c r="F47" s="1399"/>
      <c r="G47" s="1398"/>
      <c r="H47" s="1398"/>
      <c r="I47" s="1399"/>
      <c r="J47" s="1400"/>
      <c r="K47" s="1400"/>
      <c r="L47" s="1400"/>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8"/>
      <c r="C48" s="1401"/>
      <c r="D48" s="1399"/>
      <c r="E48" s="1399"/>
      <c r="F48" s="1399"/>
      <c r="G48" s="1398"/>
      <c r="H48" s="1398"/>
      <c r="I48" s="1399"/>
      <c r="J48" s="1400"/>
      <c r="K48" s="1400"/>
      <c r="L48" s="1400"/>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8"/>
      <c r="C49" s="1401"/>
      <c r="D49" s="1399"/>
      <c r="E49" s="1399"/>
      <c r="F49" s="1399"/>
      <c r="G49" s="1398"/>
      <c r="H49" s="1398"/>
      <c r="I49" s="1399"/>
      <c r="J49" s="1400"/>
      <c r="K49" s="1400"/>
      <c r="L49" s="1400"/>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8"/>
      <c r="C50" s="1401"/>
      <c r="D50" s="1399"/>
      <c r="E50" s="1399"/>
      <c r="F50" s="1399"/>
      <c r="G50" s="1398"/>
      <c r="H50" s="1398"/>
      <c r="I50" s="1399"/>
      <c r="J50" s="1400"/>
      <c r="K50" s="1400"/>
      <c r="L50" s="1400"/>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8"/>
      <c r="C51" s="1401"/>
      <c r="D51" s="1399"/>
      <c r="E51" s="1399"/>
      <c r="F51" s="1399"/>
      <c r="G51" s="1398"/>
      <c r="H51" s="1398"/>
      <c r="I51" s="1399"/>
      <c r="J51" s="1400"/>
      <c r="K51" s="1400"/>
      <c r="L51" s="1400"/>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8"/>
      <c r="C52" s="1401"/>
      <c r="D52" s="1399"/>
      <c r="E52" s="1399"/>
      <c r="F52" s="1399"/>
      <c r="G52" s="1398"/>
      <c r="H52" s="1398"/>
      <c r="I52" s="1399"/>
      <c r="J52" s="1400"/>
      <c r="K52" s="1400"/>
      <c r="L52" s="1400"/>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8"/>
      <c r="C53" s="1401"/>
      <c r="D53" s="1399"/>
      <c r="E53" s="1399"/>
      <c r="F53" s="1399"/>
      <c r="G53" s="1398"/>
      <c r="H53" s="1398"/>
      <c r="I53" s="1399"/>
      <c r="J53" s="1400"/>
      <c r="K53" s="1400"/>
      <c r="L53" s="1400"/>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8"/>
      <c r="C54" s="1401"/>
      <c r="D54" s="1399"/>
      <c r="E54" s="1399"/>
      <c r="F54" s="1399"/>
      <c r="G54" s="1398"/>
      <c r="H54" s="1398"/>
      <c r="I54" s="1399"/>
      <c r="J54" s="1400"/>
      <c r="K54" s="1400"/>
      <c r="L54" s="1400"/>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8"/>
      <c r="C55" s="1401"/>
      <c r="D55" s="1399"/>
      <c r="E55" s="1399"/>
      <c r="F55" s="1399"/>
      <c r="G55" s="1398"/>
      <c r="H55" s="1398"/>
      <c r="I55" s="1399"/>
      <c r="J55" s="1400"/>
      <c r="K55" s="1400"/>
      <c r="L55" s="1400"/>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8"/>
      <c r="C56" s="1401"/>
      <c r="D56" s="1399"/>
      <c r="E56" s="1399"/>
      <c r="F56" s="1399"/>
      <c r="G56" s="1398"/>
      <c r="H56" s="1398"/>
      <c r="I56" s="1399"/>
      <c r="J56" s="1400"/>
      <c r="K56" s="1400"/>
      <c r="L56" s="1400"/>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8"/>
      <c r="C57" s="1401"/>
      <c r="D57" s="1399"/>
      <c r="E57" s="1399"/>
      <c r="F57" s="1399"/>
      <c r="G57" s="1398"/>
      <c r="H57" s="1398"/>
      <c r="I57" s="1399"/>
      <c r="J57" s="1400"/>
      <c r="K57" s="1400"/>
      <c r="L57" s="1400"/>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8"/>
      <c r="C58" s="1401"/>
      <c r="D58" s="1399"/>
      <c r="E58" s="1399"/>
      <c r="F58" s="1399"/>
      <c r="G58" s="1398"/>
      <c r="H58" s="1398"/>
      <c r="I58" s="1399"/>
      <c r="J58" s="1400"/>
      <c r="K58" s="1400"/>
      <c r="L58" s="1400"/>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8"/>
      <c r="C59" s="1401"/>
      <c r="D59" s="1399"/>
      <c r="E59" s="1399"/>
      <c r="F59" s="1399"/>
      <c r="G59" s="1398"/>
      <c r="H59" s="1398"/>
      <c r="I59" s="1399"/>
      <c r="J59" s="1400"/>
      <c r="K59" s="1400"/>
      <c r="L59" s="1400"/>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8"/>
      <c r="C60" s="1401"/>
      <c r="D60" s="1399"/>
      <c r="E60" s="1399"/>
      <c r="F60" s="1399"/>
      <c r="G60" s="1398"/>
      <c r="H60" s="1398"/>
      <c r="I60" s="1399"/>
      <c r="J60" s="1400"/>
      <c r="K60" s="1400"/>
      <c r="L60" s="1400"/>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8"/>
      <c r="C61" s="1401"/>
      <c r="D61" s="1399"/>
      <c r="E61" s="1399"/>
      <c r="F61" s="1399"/>
      <c r="G61" s="1398"/>
      <c r="H61" s="1398"/>
      <c r="I61" s="1399"/>
      <c r="J61" s="1400"/>
      <c r="K61" s="1400"/>
      <c r="L61" s="1400"/>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8"/>
      <c r="C62" s="1401"/>
      <c r="D62" s="1399"/>
      <c r="E62" s="1399"/>
      <c r="F62" s="1399"/>
      <c r="G62" s="1398"/>
      <c r="H62" s="1398"/>
      <c r="I62" s="1399"/>
      <c r="J62" s="1400"/>
      <c r="K62" s="1400"/>
      <c r="L62" s="1400"/>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8"/>
      <c r="C63" s="1401"/>
      <c r="D63" s="1399"/>
      <c r="E63" s="1399"/>
      <c r="F63" s="1399"/>
      <c r="G63" s="1398"/>
      <c r="H63" s="1398"/>
      <c r="I63" s="1399"/>
      <c r="J63" s="1400"/>
      <c r="K63" s="1400"/>
      <c r="L63" s="1400"/>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8"/>
      <c r="C64" s="1401"/>
      <c r="D64" s="1399"/>
      <c r="E64" s="1399"/>
      <c r="F64" s="1399"/>
      <c r="G64" s="1398"/>
      <c r="H64" s="1398"/>
      <c r="I64" s="1399"/>
      <c r="J64" s="1400"/>
      <c r="K64" s="1400"/>
      <c r="L64" s="1400"/>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8"/>
      <c r="C65" s="1401"/>
      <c r="D65" s="1399"/>
      <c r="E65" s="1399"/>
      <c r="F65" s="1399"/>
      <c r="G65" s="1398"/>
      <c r="H65" s="1398"/>
      <c r="I65" s="1399"/>
      <c r="J65" s="1400"/>
      <c r="K65" s="1400"/>
      <c r="L65" s="1400"/>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8"/>
      <c r="C66" s="1401"/>
      <c r="D66" s="1399"/>
      <c r="E66" s="1399"/>
      <c r="F66" s="1399"/>
      <c r="G66" s="1398"/>
      <c r="H66" s="1398"/>
      <c r="I66" s="1399"/>
      <c r="J66" s="1400"/>
      <c r="K66" s="1400"/>
      <c r="L66" s="1400"/>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8"/>
      <c r="C67" s="1401"/>
      <c r="D67" s="1399"/>
      <c r="E67" s="1399"/>
      <c r="F67" s="1399"/>
      <c r="G67" s="1398"/>
      <c r="H67" s="1398"/>
      <c r="I67" s="1399"/>
      <c r="J67" s="1400"/>
      <c r="K67" s="1400"/>
      <c r="L67" s="1400"/>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8"/>
      <c r="C68" s="1401"/>
      <c r="D68" s="1399"/>
      <c r="E68" s="1399"/>
      <c r="F68" s="1399"/>
      <c r="G68" s="1398"/>
      <c r="H68" s="1398"/>
      <c r="I68" s="1399"/>
      <c r="J68" s="1400"/>
      <c r="K68" s="1400"/>
      <c r="L68" s="1400"/>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8"/>
      <c r="C69" s="1401"/>
      <c r="D69" s="1399"/>
      <c r="E69" s="1399"/>
      <c r="F69" s="1399"/>
      <c r="G69" s="1398"/>
      <c r="H69" s="1398"/>
      <c r="I69" s="1399"/>
      <c r="J69" s="1400"/>
      <c r="K69" s="1400"/>
      <c r="L69" s="1400"/>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8"/>
      <c r="C70" s="1401"/>
      <c r="D70" s="1399"/>
      <c r="E70" s="1399"/>
      <c r="F70" s="1399"/>
      <c r="G70" s="1398"/>
      <c r="H70" s="1398"/>
      <c r="I70" s="1399"/>
      <c r="J70" s="1400"/>
      <c r="K70" s="1400"/>
      <c r="L70" s="1400"/>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8"/>
      <c r="C71" s="1401"/>
      <c r="D71" s="1399"/>
      <c r="E71" s="1399"/>
      <c r="F71" s="1399"/>
      <c r="G71" s="1398"/>
      <c r="H71" s="1398"/>
      <c r="I71" s="1399"/>
      <c r="J71" s="1400"/>
      <c r="K71" s="1400"/>
      <c r="L71" s="1400"/>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8"/>
      <c r="C72" s="1401"/>
      <c r="D72" s="1400"/>
      <c r="E72" s="1400"/>
      <c r="F72" s="1400"/>
      <c r="G72" s="1398"/>
      <c r="H72" s="1398"/>
      <c r="I72" s="1399"/>
      <c r="J72" s="1399"/>
      <c r="K72" s="1399"/>
      <c r="L72" s="1399"/>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8"/>
      <c r="C73" s="1401"/>
      <c r="D73" s="1400"/>
      <c r="E73" s="1400"/>
      <c r="F73" s="1400"/>
      <c r="G73" s="1398"/>
      <c r="H73" s="1398"/>
      <c r="I73" s="1399"/>
      <c r="J73" s="1399"/>
      <c r="K73" s="1399"/>
      <c r="L73" s="1399"/>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8"/>
      <c r="C74" s="1401"/>
      <c r="D74" s="1400"/>
      <c r="E74" s="1400"/>
      <c r="F74" s="1400"/>
      <c r="G74" s="1398"/>
      <c r="H74" s="1398"/>
      <c r="I74" s="1399"/>
      <c r="J74" s="1399"/>
      <c r="K74" s="1399"/>
      <c r="L74" s="1399"/>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8"/>
      <c r="C75" s="1401"/>
      <c r="D75" s="1400"/>
      <c r="E75" s="1400"/>
      <c r="F75" s="1400"/>
      <c r="G75" s="1398"/>
      <c r="H75" s="1398"/>
      <c r="I75" s="1399"/>
      <c r="J75" s="1399"/>
      <c r="K75" s="1399"/>
      <c r="L75" s="1399"/>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8"/>
      <c r="C76" s="1401"/>
      <c r="D76" s="1400"/>
      <c r="E76" s="1400"/>
      <c r="F76" s="1400"/>
      <c r="G76" s="1398"/>
      <c r="H76" s="1398"/>
      <c r="I76" s="1399"/>
      <c r="J76" s="1399"/>
      <c r="K76" s="1399"/>
      <c r="L76" s="1399"/>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8"/>
      <c r="C77" s="1401"/>
      <c r="D77" s="1400"/>
      <c r="E77" s="1400"/>
      <c r="F77" s="1400"/>
      <c r="G77" s="1398"/>
      <c r="H77" s="1398"/>
      <c r="I77" s="1399"/>
      <c r="J77" s="1399"/>
      <c r="K77" s="1399"/>
      <c r="L77" s="1399"/>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8"/>
      <c r="C78" s="1401"/>
      <c r="D78" s="1400"/>
      <c r="E78" s="1400"/>
      <c r="F78" s="1400"/>
      <c r="G78" s="1398"/>
      <c r="H78" s="1398"/>
      <c r="I78" s="1399"/>
      <c r="J78" s="1399"/>
      <c r="K78" s="1399"/>
      <c r="L78" s="1399"/>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8"/>
      <c r="C79" s="1401"/>
      <c r="D79" s="1400"/>
      <c r="E79" s="1400"/>
      <c r="F79" s="1400"/>
      <c r="G79" s="1398"/>
      <c r="H79" s="1398"/>
      <c r="I79" s="1399"/>
      <c r="J79" s="1399"/>
      <c r="K79" s="1399"/>
      <c r="L79" s="1399"/>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8"/>
      <c r="C80" s="1401"/>
      <c r="D80" s="1400"/>
      <c r="E80" s="1400"/>
      <c r="F80" s="1400"/>
      <c r="G80" s="1398"/>
      <c r="H80" s="1398"/>
      <c r="I80" s="1399"/>
      <c r="J80" s="1399"/>
      <c r="K80" s="1399"/>
      <c r="L80" s="1399"/>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8"/>
      <c r="C81" s="1401"/>
      <c r="D81" s="1400"/>
      <c r="E81" s="1400"/>
      <c r="F81" s="1400"/>
      <c r="G81" s="1398"/>
      <c r="H81" s="1398"/>
      <c r="I81" s="1399"/>
      <c r="J81" s="1399"/>
      <c r="K81" s="1399"/>
      <c r="L81" s="1399"/>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8"/>
      <c r="C82" s="1401"/>
      <c r="D82" s="1400"/>
      <c r="E82" s="1400"/>
      <c r="F82" s="1400"/>
      <c r="G82" s="1398"/>
      <c r="H82" s="1398"/>
      <c r="I82" s="1399"/>
      <c r="J82" s="1399"/>
      <c r="K82" s="1399"/>
      <c r="L82" s="1399"/>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8"/>
      <c r="C83" s="1401"/>
      <c r="D83" s="1400"/>
      <c r="E83" s="1400"/>
      <c r="F83" s="1400"/>
      <c r="G83" s="1398"/>
      <c r="H83" s="1398"/>
      <c r="I83" s="1399"/>
      <c r="J83" s="1399"/>
      <c r="K83" s="1399"/>
      <c r="L83" s="1399"/>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8"/>
      <c r="C84" s="1401"/>
      <c r="D84" s="1400"/>
      <c r="E84" s="1400"/>
      <c r="F84" s="1400"/>
      <c r="G84" s="1398"/>
      <c r="H84" s="1398"/>
      <c r="I84" s="1399"/>
      <c r="J84" s="1399"/>
      <c r="K84" s="1399"/>
      <c r="L84" s="1399"/>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8"/>
      <c r="C85" s="1401"/>
      <c r="D85" s="1400"/>
      <c r="E85" s="1400"/>
      <c r="F85" s="1400"/>
      <c r="G85" s="1398"/>
      <c r="H85" s="1398"/>
      <c r="I85" s="1399"/>
      <c r="J85" s="1399"/>
      <c r="K85" s="1399"/>
      <c r="L85" s="1399"/>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8"/>
      <c r="C86" s="1401"/>
      <c r="D86" s="1400"/>
      <c r="E86" s="1400"/>
      <c r="F86" s="1400"/>
      <c r="G86" s="1398"/>
      <c r="H86" s="1398"/>
      <c r="I86" s="1399"/>
      <c r="J86" s="1399"/>
      <c r="K86" s="1399"/>
      <c r="L86" s="1399"/>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8"/>
      <c r="C87" s="1401"/>
      <c r="D87" s="1400"/>
      <c r="E87" s="1400"/>
      <c r="F87" s="1400"/>
      <c r="G87" s="1398"/>
      <c r="H87" s="1398"/>
      <c r="I87" s="1399"/>
      <c r="J87" s="1399"/>
      <c r="K87" s="1399"/>
      <c r="L87" s="1399"/>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8"/>
      <c r="C88" s="1401"/>
      <c r="D88" s="1400"/>
      <c r="E88" s="1400"/>
      <c r="F88" s="1400"/>
      <c r="G88" s="1398"/>
      <c r="H88" s="1398"/>
      <c r="I88" s="1399"/>
      <c r="J88" s="1399"/>
      <c r="K88" s="1399"/>
      <c r="L88" s="1399"/>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8"/>
      <c r="C89" s="1401"/>
      <c r="D89" s="1400"/>
      <c r="E89" s="1400"/>
      <c r="F89" s="1400"/>
      <c r="G89" s="1398"/>
      <c r="H89" s="1398"/>
      <c r="I89" s="1399"/>
      <c r="J89" s="1399"/>
      <c r="K89" s="1399"/>
      <c r="L89" s="1399"/>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8"/>
      <c r="C90" s="1401"/>
      <c r="D90" s="1400"/>
      <c r="E90" s="1400"/>
      <c r="F90" s="1400"/>
      <c r="G90" s="1398"/>
      <c r="H90" s="1398"/>
      <c r="I90" s="1399"/>
      <c r="J90" s="1399"/>
      <c r="K90" s="1399"/>
      <c r="L90" s="1399"/>
      <c r="M90" s="150">
        <f t="shared" si="5"/>
        <v>0</v>
      </c>
      <c r="N90" s="151">
        <f t="shared" si="6"/>
        <v>0</v>
      </c>
      <c r="O90" s="152">
        <f>+IF(OR($R90=Parametres!$G$2,$R90=Parametres!$G$3),J90,D90)</f>
        <v>0</v>
      </c>
      <c r="P90" s="1085">
        <f>+IF(OR($R90=Parametres!$G$2,$R90=Parametres!$G$3),K90,E90)</f>
        <v>0</v>
      </c>
      <c r="Q90" s="1381">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8"/>
      <c r="C91" s="1401"/>
      <c r="D91" s="1400"/>
      <c r="E91" s="1400"/>
      <c r="F91" s="1400"/>
      <c r="G91" s="1398"/>
      <c r="H91" s="1398"/>
      <c r="I91" s="1399"/>
      <c r="J91" s="1399"/>
      <c r="K91" s="1399"/>
      <c r="L91" s="1399"/>
      <c r="M91" s="150">
        <f t="shared" si="5"/>
        <v>0</v>
      </c>
      <c r="N91" s="151">
        <f t="shared" si="6"/>
        <v>0</v>
      </c>
      <c r="O91" s="152">
        <f>+IF(OR($R91=Parametres!$G$2,$R91=Parametres!$G$3),J91,D91)</f>
        <v>0</v>
      </c>
      <c r="P91" s="1085">
        <f>+IF(OR($R91=Parametres!$G$2,$R91=Parametres!$G$3),K91,E91)</f>
        <v>0</v>
      </c>
      <c r="Q91" s="1382">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8"/>
      <c r="C92" s="1401"/>
      <c r="D92" s="1400"/>
      <c r="E92" s="1400"/>
      <c r="F92" s="1400"/>
      <c r="G92" s="1398"/>
      <c r="H92" s="1398"/>
      <c r="I92" s="1399"/>
      <c r="J92" s="1399"/>
      <c r="K92" s="1399"/>
      <c r="L92" s="1399"/>
      <c r="M92" s="150">
        <f t="shared" si="5"/>
        <v>0</v>
      </c>
      <c r="N92" s="151">
        <f t="shared" si="6"/>
        <v>0</v>
      </c>
      <c r="O92" s="152">
        <f>+IF(OR($R92=Parametres!$G$2,$R92=Parametres!$G$3),J92,D92)</f>
        <v>0</v>
      </c>
      <c r="P92" s="1085">
        <f>+IF(OR($R92=Parametres!$G$2,$R92=Parametres!$G$3),K92,E92)</f>
        <v>0</v>
      </c>
      <c r="Q92" s="1382">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8"/>
      <c r="C93" s="1398"/>
      <c r="D93" s="1399"/>
      <c r="E93" s="1399"/>
      <c r="F93" s="1399"/>
      <c r="G93" s="1398"/>
      <c r="H93" s="1398"/>
      <c r="I93" s="1399"/>
      <c r="J93" s="1400"/>
      <c r="K93" s="1400"/>
      <c r="L93" s="1400"/>
      <c r="M93" s="150">
        <f t="shared" si="5"/>
        <v>0</v>
      </c>
      <c r="N93" s="151">
        <f t="shared" si="6"/>
        <v>0</v>
      </c>
      <c r="O93" s="152">
        <f>+IF(OR($R93=Parametres!$G$2,$R93=Parametres!$G$3),J93,D93)</f>
        <v>0</v>
      </c>
      <c r="P93" s="1085">
        <f>+IF(OR($R93=Parametres!$G$2,$R93=Parametres!$G$3),K93,E93)</f>
        <v>0</v>
      </c>
      <c r="Q93" s="1382">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8"/>
      <c r="C94" s="1401"/>
      <c r="D94" s="1400"/>
      <c r="E94" s="1400"/>
      <c r="F94" s="1400"/>
      <c r="G94" s="1398"/>
      <c r="H94" s="1398"/>
      <c r="I94" s="1399"/>
      <c r="J94" s="1399"/>
      <c r="K94" s="1399"/>
      <c r="L94" s="1399"/>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8"/>
      <c r="C95" s="1401"/>
      <c r="D95" s="1400"/>
      <c r="E95" s="1400"/>
      <c r="F95" s="1400"/>
      <c r="G95" s="1398"/>
      <c r="H95" s="1398"/>
      <c r="I95" s="1399"/>
      <c r="J95" s="1399"/>
      <c r="K95" s="1399"/>
      <c r="L95" s="1399"/>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8"/>
      <c r="C96" s="1401"/>
      <c r="D96" s="1400"/>
      <c r="E96" s="1400"/>
      <c r="F96" s="1400"/>
      <c r="G96" s="1398"/>
      <c r="H96" s="1398"/>
      <c r="I96" s="1399"/>
      <c r="J96" s="1399"/>
      <c r="K96" s="1399"/>
      <c r="L96" s="1399"/>
      <c r="M96" s="150">
        <f t="shared" si="5"/>
        <v>0</v>
      </c>
      <c r="N96" s="151">
        <f t="shared" si="6"/>
        <v>0</v>
      </c>
      <c r="O96" s="152">
        <f>+IF(OR($R96=Parametres!$G$2,$R96=Parametres!$G$3),J96,D96)</f>
        <v>0</v>
      </c>
      <c r="P96" s="1085">
        <f>+IF(OR($R96=Parametres!$G$2,$R96=Parametres!$G$3),K96,E96)</f>
        <v>0</v>
      </c>
      <c r="Q96" s="1382">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8"/>
      <c r="C97" s="1398"/>
      <c r="D97" s="1399"/>
      <c r="E97" s="1399"/>
      <c r="F97" s="1399"/>
      <c r="G97" s="1398"/>
      <c r="H97" s="1398"/>
      <c r="I97" s="1399"/>
      <c r="J97" s="1400"/>
      <c r="K97" s="1400"/>
      <c r="L97" s="1400"/>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8"/>
      <c r="C98" s="1401"/>
      <c r="D98" s="1400"/>
      <c r="E98" s="1400"/>
      <c r="F98" s="1400"/>
      <c r="G98" s="1398"/>
      <c r="H98" s="1398"/>
      <c r="I98" s="1399"/>
      <c r="J98" s="1399"/>
      <c r="K98" s="1399"/>
      <c r="L98" s="1399"/>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8"/>
      <c r="C99" s="1401"/>
      <c r="D99" s="1400"/>
      <c r="E99" s="1400"/>
      <c r="F99" s="1400"/>
      <c r="G99" s="1398"/>
      <c r="H99" s="1398"/>
      <c r="I99" s="1399"/>
      <c r="J99" s="1399"/>
      <c r="K99" s="1399"/>
      <c r="L99" s="1399"/>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8"/>
      <c r="C100" s="1401"/>
      <c r="D100" s="1400"/>
      <c r="E100" s="1400"/>
      <c r="F100" s="1400"/>
      <c r="G100" s="1398"/>
      <c r="H100" s="1398"/>
      <c r="I100" s="1399"/>
      <c r="J100" s="1399"/>
      <c r="K100" s="1399"/>
      <c r="L100" s="1399"/>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8"/>
      <c r="C101" s="1401"/>
      <c r="D101" s="1400"/>
      <c r="E101" s="1400"/>
      <c r="F101" s="1400"/>
      <c r="G101" s="1398"/>
      <c r="H101" s="1398"/>
      <c r="I101" s="1399"/>
      <c r="J101" s="1399"/>
      <c r="K101" s="1399"/>
      <c r="L101" s="1399"/>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8"/>
      <c r="C102" s="1401"/>
      <c r="D102" s="1400"/>
      <c r="E102" s="1400"/>
      <c r="F102" s="1400"/>
      <c r="G102" s="1398"/>
      <c r="H102" s="1398"/>
      <c r="I102" s="1399"/>
      <c r="J102" s="1399"/>
      <c r="K102" s="1399"/>
      <c r="L102" s="1399"/>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8"/>
      <c r="C103" s="1401"/>
      <c r="D103" s="1400"/>
      <c r="E103" s="1400"/>
      <c r="F103" s="1400"/>
      <c r="G103" s="1398"/>
      <c r="H103" s="1398"/>
      <c r="I103" s="1399"/>
      <c r="J103" s="1399"/>
      <c r="K103" s="1399"/>
      <c r="L103" s="1399"/>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8"/>
      <c r="C104" s="1401"/>
      <c r="D104" s="1400"/>
      <c r="E104" s="1400"/>
      <c r="F104" s="1400"/>
      <c r="G104" s="1398"/>
      <c r="H104" s="1398"/>
      <c r="I104" s="1399"/>
      <c r="J104" s="1399"/>
      <c r="K104" s="1399"/>
      <c r="L104" s="1399"/>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8"/>
      <c r="C105" s="1401"/>
      <c r="D105" s="1400"/>
      <c r="E105" s="1400"/>
      <c r="F105" s="1400"/>
      <c r="G105" s="1398"/>
      <c r="H105" s="1398"/>
      <c r="I105" s="1399"/>
      <c r="J105" s="1399"/>
      <c r="K105" s="1399"/>
      <c r="L105" s="1399"/>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8"/>
      <c r="C106" s="1401"/>
      <c r="D106" s="1400"/>
      <c r="E106" s="1400"/>
      <c r="F106" s="1400"/>
      <c r="G106" s="1398"/>
      <c r="H106" s="1398"/>
      <c r="I106" s="1399"/>
      <c r="J106" s="1399"/>
      <c r="K106" s="1399"/>
      <c r="L106" s="1399"/>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8"/>
      <c r="C107" s="1401"/>
      <c r="D107" s="1400"/>
      <c r="E107" s="1400"/>
      <c r="F107" s="1400"/>
      <c r="G107" s="1398"/>
      <c r="H107" s="1398"/>
      <c r="I107" s="1399"/>
      <c r="J107" s="1399"/>
      <c r="K107" s="1399"/>
      <c r="L107" s="1399"/>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8"/>
      <c r="C108" s="1401"/>
      <c r="D108" s="1400"/>
      <c r="E108" s="1400"/>
      <c r="F108" s="1400"/>
      <c r="G108" s="1398"/>
      <c r="H108" s="1398"/>
      <c r="I108" s="1399"/>
      <c r="J108" s="1399"/>
      <c r="K108" s="1399"/>
      <c r="L108" s="1399"/>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8"/>
      <c r="C109" s="1401"/>
      <c r="D109" s="1400"/>
      <c r="E109" s="1400"/>
      <c r="F109" s="1400"/>
      <c r="G109" s="1398"/>
      <c r="H109" s="1398"/>
      <c r="I109" s="1399"/>
      <c r="J109" s="1399"/>
      <c r="K109" s="1399"/>
      <c r="L109" s="1399"/>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8"/>
      <c r="C110" s="1401"/>
      <c r="D110" s="1400"/>
      <c r="E110" s="1400"/>
      <c r="F110" s="1400"/>
      <c r="G110" s="1398"/>
      <c r="H110" s="1398"/>
      <c r="I110" s="1399"/>
      <c r="J110" s="1399"/>
      <c r="K110" s="1399"/>
      <c r="L110" s="1399"/>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8"/>
      <c r="C111" s="1401"/>
      <c r="D111" s="1400"/>
      <c r="E111" s="1400"/>
      <c r="F111" s="1400"/>
      <c r="G111" s="1398"/>
      <c r="H111" s="1398"/>
      <c r="I111" s="1399"/>
      <c r="J111" s="1399"/>
      <c r="K111" s="1399"/>
      <c r="L111" s="1399"/>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8"/>
      <c r="C112" s="1401"/>
      <c r="D112" s="1400"/>
      <c r="E112" s="1400"/>
      <c r="F112" s="1400"/>
      <c r="G112" s="1398"/>
      <c r="H112" s="1398"/>
      <c r="I112" s="1399"/>
      <c r="J112" s="1399"/>
      <c r="K112" s="1399"/>
      <c r="L112" s="1399"/>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8"/>
      <c r="C113" s="1401"/>
      <c r="D113" s="1400"/>
      <c r="E113" s="1400"/>
      <c r="F113" s="1400"/>
      <c r="G113" s="1398"/>
      <c r="H113" s="1398"/>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8"/>
      <c r="C114" s="1401"/>
      <c r="D114" s="1400"/>
      <c r="E114" s="1400"/>
      <c r="F114" s="1400"/>
      <c r="G114" s="1398"/>
      <c r="H114" s="1398"/>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8"/>
      <c r="C115" s="1401"/>
      <c r="D115" s="1400"/>
      <c r="E115" s="1400"/>
      <c r="F115" s="1400"/>
      <c r="G115" s="1398"/>
      <c r="H115" s="1398"/>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8"/>
      <c r="C116" s="1401"/>
      <c r="D116" s="1400"/>
      <c r="E116" s="1400"/>
      <c r="F116" s="1400"/>
      <c r="G116" s="1398"/>
      <c r="H116" s="1398"/>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8"/>
      <c r="C117" s="1401"/>
      <c r="D117" s="1400"/>
      <c r="E117" s="1400"/>
      <c r="F117" s="1400"/>
      <c r="G117" s="1398"/>
      <c r="H117" s="1398"/>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8"/>
      <c r="C118" s="1401"/>
      <c r="D118" s="1400"/>
      <c r="E118" s="1400"/>
      <c r="F118" s="1400"/>
      <c r="G118" s="1398"/>
      <c r="H118" s="1398"/>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8"/>
      <c r="C119" s="1401"/>
      <c r="D119" s="1400"/>
      <c r="E119" s="1400"/>
      <c r="F119" s="1400"/>
      <c r="G119" s="1398"/>
      <c r="H119" s="1398"/>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8"/>
      <c r="C120" s="1401"/>
      <c r="D120" s="1400"/>
      <c r="E120" s="1400"/>
      <c r="F120" s="1400"/>
      <c r="G120" s="1398"/>
      <c r="H120" s="1398"/>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8"/>
      <c r="C121" s="1401"/>
      <c r="D121" s="1400"/>
      <c r="E121" s="1400"/>
      <c r="F121" s="1400"/>
      <c r="G121" s="1398"/>
      <c r="H121" s="1398"/>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8"/>
      <c r="C122" s="1401"/>
      <c r="D122" s="1400"/>
      <c r="E122" s="1400"/>
      <c r="F122" s="1400"/>
      <c r="G122" s="1398"/>
      <c r="H122" s="1398"/>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8"/>
      <c r="C123" s="1401"/>
      <c r="D123" s="1400"/>
      <c r="E123" s="1400"/>
      <c r="F123" s="1400"/>
      <c r="G123" s="1398"/>
      <c r="H123" s="1398"/>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8"/>
      <c r="C124" s="1401"/>
      <c r="D124" s="1400"/>
      <c r="E124" s="1400"/>
      <c r="F124" s="1400"/>
      <c r="G124" s="1398"/>
      <c r="H124" s="1398"/>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8"/>
      <c r="C125" s="1401"/>
      <c r="D125" s="1400"/>
      <c r="E125" s="1400"/>
      <c r="F125" s="1400"/>
      <c r="G125" s="1398"/>
      <c r="H125" s="1398"/>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8"/>
      <c r="C126" s="1401"/>
      <c r="D126" s="1400"/>
      <c r="E126" s="1400"/>
      <c r="F126" s="1400"/>
      <c r="G126" s="1398"/>
      <c r="H126" s="1398"/>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8"/>
      <c r="C127" s="1401"/>
      <c r="D127" s="1400"/>
      <c r="E127" s="1400"/>
      <c r="F127" s="1400"/>
      <c r="G127" s="1398"/>
      <c r="H127" s="1398"/>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8"/>
      <c r="C128" s="1401"/>
      <c r="D128" s="1400"/>
      <c r="E128" s="1400"/>
      <c r="F128" s="1400"/>
      <c r="G128" s="1398"/>
      <c r="H128" s="1398"/>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8"/>
      <c r="C129" s="1401"/>
      <c r="D129" s="1400"/>
      <c r="E129" s="1400"/>
      <c r="F129" s="1400"/>
      <c r="G129" s="1398"/>
      <c r="H129" s="1398"/>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8"/>
      <c r="C130" s="1401"/>
      <c r="D130" s="1400"/>
      <c r="E130" s="1400"/>
      <c r="F130" s="1400"/>
      <c r="G130" s="1398"/>
      <c r="H130" s="1398"/>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8"/>
      <c r="C131" s="1401"/>
      <c r="D131" s="1400"/>
      <c r="E131" s="1400"/>
      <c r="F131" s="1400"/>
      <c r="G131" s="1398"/>
      <c r="H131" s="1398"/>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8"/>
      <c r="C132" s="1401"/>
      <c r="D132" s="1400"/>
      <c r="E132" s="1400"/>
      <c r="F132" s="1400"/>
      <c r="G132" s="1398"/>
      <c r="H132" s="1398"/>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8"/>
      <c r="C133" s="1401"/>
      <c r="D133" s="1400"/>
      <c r="E133" s="1400"/>
      <c r="F133" s="1400"/>
      <c r="G133" s="1398"/>
      <c r="H133" s="1398"/>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8"/>
      <c r="C134" s="1401"/>
      <c r="D134" s="1400"/>
      <c r="E134" s="1400"/>
      <c r="F134" s="1400"/>
      <c r="G134" s="1398"/>
      <c r="H134" s="1398"/>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8"/>
      <c r="C135" s="1401"/>
      <c r="D135" s="1400"/>
      <c r="E135" s="1400"/>
      <c r="F135" s="1400"/>
      <c r="G135" s="1398"/>
      <c r="H135" s="1398"/>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8"/>
      <c r="C136" s="1401"/>
      <c r="D136" s="1400"/>
      <c r="E136" s="1400"/>
      <c r="F136" s="1400"/>
      <c r="G136" s="1398"/>
      <c r="H136" s="1398"/>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8"/>
      <c r="C137" s="1401"/>
      <c r="D137" s="1400"/>
      <c r="E137" s="1400"/>
      <c r="F137" s="1400"/>
      <c r="G137" s="1398"/>
      <c r="H137" s="1398"/>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8"/>
      <c r="C138" s="1401"/>
      <c r="D138" s="1400"/>
      <c r="E138" s="1400"/>
      <c r="F138" s="1400"/>
      <c r="G138" s="1398"/>
      <c r="H138" s="1398"/>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8"/>
      <c r="C139" s="1401"/>
      <c r="D139" s="1400"/>
      <c r="E139" s="1400"/>
      <c r="F139" s="1400"/>
      <c r="G139" s="1398"/>
      <c r="H139" s="1398"/>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8"/>
      <c r="C140" s="1401"/>
      <c r="D140" s="1400"/>
      <c r="E140" s="1400"/>
      <c r="F140" s="1400"/>
      <c r="G140" s="1398"/>
      <c r="H140" s="1398"/>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8"/>
      <c r="C141" s="1401"/>
      <c r="D141" s="1400"/>
      <c r="E141" s="1400"/>
      <c r="F141" s="1400"/>
      <c r="G141" s="1398"/>
      <c r="H141" s="1398"/>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8"/>
      <c r="C142" s="1401"/>
      <c r="D142" s="1400"/>
      <c r="E142" s="1400"/>
      <c r="F142" s="1400"/>
      <c r="G142" s="1398"/>
      <c r="H142" s="1398"/>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8"/>
      <c r="C143" s="1401"/>
      <c r="D143" s="1400"/>
      <c r="E143" s="1400"/>
      <c r="F143" s="1400"/>
      <c r="G143" s="1398"/>
      <c r="H143" s="1398"/>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8"/>
      <c r="C144" s="1401"/>
      <c r="D144" s="1400"/>
      <c r="E144" s="1400"/>
      <c r="F144" s="1400"/>
      <c r="G144" s="1398"/>
      <c r="H144" s="1398"/>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8"/>
      <c r="C145" s="1401"/>
      <c r="D145" s="1400"/>
      <c r="E145" s="1400"/>
      <c r="F145" s="1400"/>
      <c r="G145" s="1398"/>
      <c r="H145" s="1398"/>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8"/>
      <c r="C146" s="1401"/>
      <c r="D146" s="1400"/>
      <c r="E146" s="1400"/>
      <c r="F146" s="1400"/>
      <c r="G146" s="1398"/>
      <c r="H146" s="1398"/>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8"/>
      <c r="C147" s="1401"/>
      <c r="D147" s="1400"/>
      <c r="E147" s="1400"/>
      <c r="F147" s="1400"/>
      <c r="G147" s="1398"/>
      <c r="H147" s="1398"/>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8"/>
      <c r="C148" s="1401"/>
      <c r="D148" s="1400"/>
      <c r="E148" s="1400"/>
      <c r="F148" s="1400"/>
      <c r="G148" s="1398"/>
      <c r="H148" s="1398"/>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8"/>
      <c r="C149" s="1401"/>
      <c r="D149" s="1400"/>
      <c r="E149" s="1400"/>
      <c r="F149" s="1400"/>
      <c r="G149" s="1398"/>
      <c r="H149" s="1398"/>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8"/>
      <c r="C150" s="1401"/>
      <c r="D150" s="1400"/>
      <c r="E150" s="1400"/>
      <c r="F150" s="1400"/>
      <c r="G150" s="1398"/>
      <c r="H150" s="1398"/>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8"/>
      <c r="C151" s="1401"/>
      <c r="D151" s="1400"/>
      <c r="E151" s="1400"/>
      <c r="F151" s="1400"/>
      <c r="G151" s="1398"/>
      <c r="H151" s="1398"/>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8"/>
      <c r="C152" s="1401"/>
      <c r="D152" s="1400"/>
      <c r="E152" s="1400"/>
      <c r="F152" s="1400"/>
      <c r="G152" s="1398"/>
      <c r="H152" s="1398"/>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8"/>
      <c r="C153" s="1401"/>
      <c r="D153" s="1400"/>
      <c r="E153" s="1400"/>
      <c r="F153" s="1400"/>
      <c r="G153" s="1398"/>
      <c r="H153" s="1398"/>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8"/>
      <c r="C154" s="1401"/>
      <c r="D154" s="1400"/>
      <c r="E154" s="1400"/>
      <c r="F154" s="1400"/>
      <c r="G154" s="1398"/>
      <c r="H154" s="1398"/>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8"/>
      <c r="C155" s="1401"/>
      <c r="D155" s="1400"/>
      <c r="E155" s="1400"/>
      <c r="F155" s="1400"/>
      <c r="G155" s="1398"/>
      <c r="H155" s="1398"/>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8"/>
      <c r="C156" s="1401"/>
      <c r="D156" s="1400"/>
      <c r="E156" s="1400"/>
      <c r="F156" s="1400"/>
      <c r="G156" s="1398"/>
      <c r="H156" s="1398"/>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8"/>
      <c r="C157" s="1401"/>
      <c r="D157" s="1400"/>
      <c r="E157" s="1400"/>
      <c r="F157" s="1400"/>
      <c r="G157" s="1398"/>
      <c r="H157" s="1398"/>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8"/>
      <c r="C158" s="1401"/>
      <c r="D158" s="1400"/>
      <c r="E158" s="1400"/>
      <c r="F158" s="1400"/>
      <c r="G158" s="1398"/>
      <c r="H158" s="1398"/>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8"/>
      <c r="C159" s="1401"/>
      <c r="D159" s="1400"/>
      <c r="E159" s="1400"/>
      <c r="F159" s="1400"/>
      <c r="G159" s="1398"/>
      <c r="H159" s="1398"/>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8"/>
      <c r="C160" s="1401"/>
      <c r="D160" s="1400"/>
      <c r="E160" s="1400"/>
      <c r="F160" s="1400"/>
      <c r="G160" s="1398"/>
      <c r="H160" s="1398"/>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8"/>
      <c r="C161" s="1401"/>
      <c r="D161" s="1400"/>
      <c r="E161" s="1400"/>
      <c r="F161" s="1400"/>
      <c r="G161" s="1398"/>
      <c r="H161" s="1398"/>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8"/>
      <c r="C162" s="1401"/>
      <c r="D162" s="1400"/>
      <c r="E162" s="1400"/>
      <c r="F162" s="1400"/>
      <c r="G162" s="1398"/>
      <c r="H162" s="1398"/>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8"/>
      <c r="C163" s="1401"/>
      <c r="D163" s="1400"/>
      <c r="E163" s="1400"/>
      <c r="F163" s="1400"/>
      <c r="G163" s="1398"/>
      <c r="H163" s="1398"/>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8"/>
      <c r="C164" s="1401"/>
      <c r="D164" s="1400"/>
      <c r="E164" s="1400"/>
      <c r="F164" s="1400"/>
      <c r="G164" s="1398"/>
      <c r="H164" s="1398"/>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8"/>
      <c r="C165" s="1401"/>
      <c r="D165" s="1400"/>
      <c r="E165" s="1400"/>
      <c r="F165" s="1400"/>
      <c r="G165" s="1398"/>
      <c r="H165" s="1398"/>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8"/>
      <c r="C166" s="1401"/>
      <c r="D166" s="1400"/>
      <c r="E166" s="1400"/>
      <c r="F166" s="1400"/>
      <c r="G166" s="1398"/>
      <c r="H166" s="1398"/>
      <c r="I166" s="948"/>
      <c r="J166" s="1376"/>
      <c r="K166" s="1376"/>
      <c r="L166" s="1376"/>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8"/>
      <c r="C167" s="1401"/>
      <c r="D167" s="1400"/>
      <c r="E167" s="1400"/>
      <c r="F167" s="1400"/>
      <c r="G167" s="1398"/>
      <c r="H167" s="1398"/>
      <c r="I167" s="948"/>
      <c r="J167" s="1376"/>
      <c r="K167" s="1376"/>
      <c r="L167" s="1376"/>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8"/>
      <c r="C168" s="1401"/>
      <c r="D168" s="1400"/>
      <c r="E168" s="1400"/>
      <c r="F168" s="1400"/>
      <c r="G168" s="1398"/>
      <c r="H168" s="1398"/>
      <c r="I168" s="948"/>
      <c r="J168" s="1376"/>
      <c r="K168" s="1376"/>
      <c r="L168" s="1376"/>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8"/>
      <c r="C169" s="1401"/>
      <c r="D169" s="1400"/>
      <c r="E169" s="1400"/>
      <c r="F169" s="1400"/>
      <c r="G169" s="1398"/>
      <c r="H169" s="1398"/>
      <c r="I169" s="989"/>
      <c r="J169" s="1377"/>
      <c r="K169" s="1377"/>
      <c r="L169" s="1377"/>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8"/>
      <c r="C170" s="1401"/>
      <c r="D170" s="1400"/>
      <c r="E170" s="1400"/>
      <c r="F170" s="1400"/>
      <c r="G170" s="1398"/>
      <c r="H170" s="1398"/>
      <c r="I170" s="989"/>
      <c r="J170" s="1377"/>
      <c r="K170" s="1377"/>
      <c r="L170" s="1377"/>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8"/>
      <c r="C171" s="1401"/>
      <c r="D171" s="1400"/>
      <c r="E171" s="1400"/>
      <c r="F171" s="1400"/>
      <c r="G171" s="1398"/>
      <c r="H171" s="1398"/>
      <c r="I171" s="1198"/>
      <c r="J171" s="1378"/>
      <c r="K171" s="1378"/>
      <c r="L171" s="1378"/>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8"/>
      <c r="C172" s="1401"/>
      <c r="D172" s="1400"/>
      <c r="E172" s="1400"/>
      <c r="F172" s="1400"/>
      <c r="G172" s="1398"/>
      <c r="H172" s="1398"/>
      <c r="I172" s="1198"/>
      <c r="J172" s="1378"/>
      <c r="K172" s="1378"/>
      <c r="L172" s="1378"/>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8"/>
      <c r="C173" s="1401"/>
      <c r="D173" s="1400"/>
      <c r="E173" s="1400"/>
      <c r="F173" s="1400"/>
      <c r="G173" s="1398"/>
      <c r="H173" s="1398"/>
      <c r="I173" s="989"/>
      <c r="J173" s="1377"/>
      <c r="K173" s="1377"/>
      <c r="L173" s="1377"/>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8"/>
      <c r="C174" s="1401"/>
      <c r="D174" s="1400"/>
      <c r="E174" s="1400"/>
      <c r="F174" s="1400"/>
      <c r="G174" s="1398"/>
      <c r="H174" s="1398"/>
      <c r="I174" s="989"/>
      <c r="J174" s="1377"/>
      <c r="K174" s="1377"/>
      <c r="L174" s="1377"/>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8"/>
      <c r="C175" s="1401"/>
      <c r="D175" s="1400"/>
      <c r="E175" s="1400"/>
      <c r="F175" s="1400"/>
      <c r="G175" s="1398"/>
      <c r="H175" s="1398"/>
      <c r="I175" s="948"/>
      <c r="J175" s="1376"/>
      <c r="K175" s="1376"/>
      <c r="L175" s="1376"/>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8"/>
      <c r="C176" s="1401"/>
      <c r="D176" s="1400"/>
      <c r="E176" s="1400"/>
      <c r="F176" s="1400"/>
      <c r="G176" s="1398"/>
      <c r="H176" s="1398"/>
      <c r="I176" s="948"/>
      <c r="J176" s="1379"/>
      <c r="K176" s="1379"/>
      <c r="L176" s="1379"/>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8"/>
      <c r="C177" s="1398"/>
      <c r="D177" s="1399"/>
      <c r="E177" s="1399"/>
      <c r="F177" s="1399"/>
      <c r="G177" s="1398"/>
      <c r="H177" s="1398"/>
      <c r="I177" s="1399"/>
      <c r="J177" s="1400"/>
      <c r="K177" s="1400"/>
      <c r="L177" s="1400"/>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8"/>
      <c r="C178" s="1401"/>
      <c r="D178" s="1400"/>
      <c r="E178" s="1400"/>
      <c r="F178" s="1400"/>
      <c r="G178" s="1398"/>
      <c r="H178" s="1398"/>
      <c r="I178" s="1399"/>
      <c r="J178" s="1399"/>
      <c r="K178" s="1399"/>
      <c r="L178" s="1399"/>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8"/>
      <c r="C179" s="1398"/>
      <c r="D179" s="1399"/>
      <c r="E179" s="1399"/>
      <c r="F179" s="1399"/>
      <c r="G179" s="1398"/>
      <c r="H179" s="1398"/>
      <c r="I179" s="1399"/>
      <c r="J179" s="1400"/>
      <c r="K179" s="1400"/>
      <c r="L179" s="1400"/>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8"/>
      <c r="C180" s="1401"/>
      <c r="D180" s="1400"/>
      <c r="E180" s="1400"/>
      <c r="F180" s="1400"/>
      <c r="G180" s="1398"/>
      <c r="H180" s="1398"/>
      <c r="I180" s="1399"/>
      <c r="J180" s="1399"/>
      <c r="K180" s="1399"/>
      <c r="L180" s="1399"/>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8"/>
      <c r="C181" s="1398"/>
      <c r="D181" s="1399"/>
      <c r="E181" s="1399"/>
      <c r="F181" s="1399"/>
      <c r="G181" s="1398"/>
      <c r="H181" s="1398"/>
      <c r="I181" s="1399"/>
      <c r="J181" s="1400"/>
      <c r="K181" s="1400"/>
      <c r="L181" s="1400"/>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8"/>
      <c r="C182" s="1401"/>
      <c r="D182" s="1400"/>
      <c r="E182" s="1400"/>
      <c r="F182" s="1400"/>
      <c r="G182" s="1398"/>
      <c r="H182" s="1398"/>
      <c r="I182" s="1399"/>
      <c r="J182" s="1399"/>
      <c r="K182" s="1399"/>
      <c r="L182" s="1399"/>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8"/>
      <c r="C183" s="1398"/>
      <c r="D183" s="1399"/>
      <c r="E183" s="1399"/>
      <c r="F183" s="1399"/>
      <c r="G183" s="1398"/>
      <c r="H183" s="1398"/>
      <c r="I183" s="1399"/>
      <c r="J183" s="1400"/>
      <c r="K183" s="1400"/>
      <c r="L183" s="1400"/>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8"/>
      <c r="C184" s="1401"/>
      <c r="D184" s="1400"/>
      <c r="E184" s="1400"/>
      <c r="F184" s="1400"/>
      <c r="G184" s="1398"/>
      <c r="H184" s="1398"/>
      <c r="I184" s="1399"/>
      <c r="J184" s="1399"/>
      <c r="K184" s="1399"/>
      <c r="L184" s="1399"/>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8"/>
      <c r="C185" s="1398"/>
      <c r="D185" s="1399"/>
      <c r="E185" s="1399"/>
      <c r="F185" s="1399"/>
      <c r="G185" s="1398"/>
      <c r="H185" s="1398"/>
      <c r="I185" s="1399"/>
      <c r="J185" s="1400"/>
      <c r="K185" s="1400"/>
      <c r="L185" s="1400"/>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8"/>
      <c r="C186" s="1401"/>
      <c r="D186" s="1400"/>
      <c r="E186" s="1400"/>
      <c r="F186" s="1400"/>
      <c r="G186" s="1398"/>
      <c r="H186" s="1398"/>
      <c r="I186" s="1399"/>
      <c r="J186" s="1399"/>
      <c r="K186" s="1399"/>
      <c r="L186" s="1399"/>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8"/>
      <c r="C187" s="1398"/>
      <c r="D187" s="1399"/>
      <c r="E187" s="1399"/>
      <c r="F187" s="1399"/>
      <c r="G187" s="1398"/>
      <c r="H187" s="1398"/>
      <c r="I187" s="1399"/>
      <c r="J187" s="1400"/>
      <c r="K187" s="1400"/>
      <c r="L187" s="1400"/>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8"/>
      <c r="C188" s="1401"/>
      <c r="D188" s="1400"/>
      <c r="E188" s="1400"/>
      <c r="F188" s="1400"/>
      <c r="G188" s="1398"/>
      <c r="H188" s="1398"/>
      <c r="I188" s="1399"/>
      <c r="J188" s="1399"/>
      <c r="K188" s="1399"/>
      <c r="L188" s="1399"/>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8"/>
      <c r="C189" s="1398"/>
      <c r="D189" s="1399"/>
      <c r="E189" s="1399"/>
      <c r="F189" s="1399"/>
      <c r="G189" s="1398"/>
      <c r="H189" s="1398"/>
      <c r="I189" s="1399"/>
      <c r="J189" s="1400"/>
      <c r="K189" s="1400"/>
      <c r="L189" s="1400"/>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8"/>
      <c r="C190" s="1401"/>
      <c r="D190" s="1400"/>
      <c r="E190" s="1400"/>
      <c r="F190" s="1400"/>
      <c r="G190" s="1398"/>
      <c r="H190" s="1398"/>
      <c r="I190" s="1399"/>
      <c r="J190" s="1399"/>
      <c r="K190" s="1399"/>
      <c r="L190" s="1399"/>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8"/>
      <c r="C191" s="1398"/>
      <c r="D191" s="1399"/>
      <c r="E191" s="1399"/>
      <c r="F191" s="1399"/>
      <c r="G191" s="1398"/>
      <c r="H191" s="1398"/>
      <c r="I191" s="1399"/>
      <c r="J191" s="1400"/>
      <c r="K191" s="1400"/>
      <c r="L191" s="1400"/>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8"/>
      <c r="C192" s="1401"/>
      <c r="D192" s="1400"/>
      <c r="E192" s="1400"/>
      <c r="F192" s="1400"/>
      <c r="G192" s="1398"/>
      <c r="H192" s="1398"/>
      <c r="I192" s="1399"/>
      <c r="J192" s="1399"/>
      <c r="K192" s="1399"/>
      <c r="L192" s="1399"/>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8"/>
      <c r="C193" s="1398"/>
      <c r="D193" s="1399"/>
      <c r="E193" s="1399"/>
      <c r="F193" s="1399"/>
      <c r="G193" s="1398"/>
      <c r="H193" s="1398"/>
      <c r="I193" s="1399"/>
      <c r="J193" s="1400"/>
      <c r="K193" s="1400"/>
      <c r="L193" s="1400"/>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8"/>
      <c r="C194" s="1401"/>
      <c r="D194" s="1400"/>
      <c r="E194" s="1400"/>
      <c r="F194" s="1400"/>
      <c r="G194" s="1398"/>
      <c r="H194" s="1398"/>
      <c r="I194" s="1399"/>
      <c r="J194" s="1399"/>
      <c r="K194" s="1399"/>
      <c r="L194" s="1399"/>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8"/>
      <c r="C195" s="1398"/>
      <c r="D195" s="1399"/>
      <c r="E195" s="1399"/>
      <c r="F195" s="1399"/>
      <c r="G195" s="1398"/>
      <c r="H195" s="1398"/>
      <c r="I195" s="1399"/>
      <c r="J195" s="1400"/>
      <c r="K195" s="1400"/>
      <c r="L195" s="1400"/>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8"/>
      <c r="C196" s="1401"/>
      <c r="D196" s="1400"/>
      <c r="E196" s="1400"/>
      <c r="F196" s="1400"/>
      <c r="G196" s="1398"/>
      <c r="H196" s="1398"/>
      <c r="I196" s="1399"/>
      <c r="J196" s="1399"/>
      <c r="K196" s="1399"/>
      <c r="L196" s="1399"/>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8"/>
      <c r="C197" s="1398"/>
      <c r="D197" s="1399"/>
      <c r="E197" s="1399"/>
      <c r="F197" s="1399"/>
      <c r="G197" s="1398"/>
      <c r="H197" s="1398"/>
      <c r="I197" s="1399"/>
      <c r="J197" s="1400"/>
      <c r="K197" s="1400"/>
      <c r="L197" s="1400"/>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8"/>
      <c r="C198" s="1401"/>
      <c r="D198" s="1400"/>
      <c r="E198" s="1400"/>
      <c r="F198" s="1400"/>
      <c r="G198" s="1398"/>
      <c r="H198" s="1398"/>
      <c r="I198" s="1399"/>
      <c r="J198" s="1399"/>
      <c r="K198" s="1399"/>
      <c r="L198" s="1399"/>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8"/>
      <c r="C199" s="1398"/>
      <c r="D199" s="1399"/>
      <c r="E199" s="1399"/>
      <c r="F199" s="1399"/>
      <c r="G199" s="1398"/>
      <c r="H199" s="1398"/>
      <c r="I199" s="1399"/>
      <c r="J199" s="1400"/>
      <c r="K199" s="1400"/>
      <c r="L199" s="1400"/>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8"/>
      <c r="C200" s="1401"/>
      <c r="D200" s="1400"/>
      <c r="E200" s="1400"/>
      <c r="F200" s="1400"/>
      <c r="G200" s="1398"/>
      <c r="H200" s="1398"/>
      <c r="I200" s="1399"/>
      <c r="J200" s="1399"/>
      <c r="K200" s="1399"/>
      <c r="L200" s="1399"/>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8"/>
      <c r="C201" s="1398"/>
      <c r="D201" s="1399"/>
      <c r="E201" s="1399"/>
      <c r="F201" s="1399"/>
      <c r="G201" s="1398"/>
      <c r="H201" s="1398"/>
      <c r="I201" s="1399"/>
      <c r="J201" s="1400"/>
      <c r="K201" s="1400"/>
      <c r="L201" s="1400"/>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8"/>
      <c r="C202" s="1401"/>
      <c r="D202" s="1400"/>
      <c r="E202" s="1400"/>
      <c r="F202" s="1400"/>
      <c r="G202" s="1398"/>
      <c r="H202" s="1398"/>
      <c r="I202" s="1399"/>
      <c r="J202" s="1399"/>
      <c r="K202" s="1399"/>
      <c r="L202" s="1399"/>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8"/>
      <c r="C203" s="1398"/>
      <c r="D203" s="1399"/>
      <c r="E203" s="1399"/>
      <c r="F203" s="1399"/>
      <c r="G203" s="1398"/>
      <c r="H203" s="1398"/>
      <c r="I203" s="1399"/>
      <c r="J203" s="1400"/>
      <c r="K203" s="1400"/>
      <c r="L203" s="1400"/>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8"/>
      <c r="C204" s="1401"/>
      <c r="D204" s="1400"/>
      <c r="E204" s="1400"/>
      <c r="F204" s="1400"/>
      <c r="G204" s="1398"/>
      <c r="H204" s="1398"/>
      <c r="I204" s="1399"/>
      <c r="J204" s="1399"/>
      <c r="K204" s="1399"/>
      <c r="L204" s="1399"/>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8"/>
      <c r="C205" s="1398"/>
      <c r="D205" s="1399"/>
      <c r="E205" s="1399"/>
      <c r="F205" s="1399"/>
      <c r="G205" s="1398"/>
      <c r="H205" s="1398"/>
      <c r="I205" s="1399"/>
      <c r="J205" s="1400"/>
      <c r="K205" s="1400"/>
      <c r="L205" s="1400"/>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8"/>
      <c r="C206" s="1401"/>
      <c r="D206" s="1400"/>
      <c r="E206" s="1400"/>
      <c r="F206" s="1400"/>
      <c r="G206" s="1398"/>
      <c r="H206" s="1398"/>
      <c r="I206" s="1399"/>
      <c r="J206" s="1399"/>
      <c r="K206" s="1399"/>
      <c r="L206" s="1399"/>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8"/>
      <c r="C207" s="1401"/>
      <c r="D207" s="1400"/>
      <c r="E207" s="1400"/>
      <c r="F207" s="1400"/>
      <c r="G207" s="1398"/>
      <c r="H207" s="1398"/>
      <c r="I207" s="1399"/>
      <c r="J207" s="1399"/>
      <c r="K207" s="1399"/>
      <c r="L207" s="1399"/>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8"/>
      <c r="C208" s="1398"/>
      <c r="D208" s="1399"/>
      <c r="E208" s="1399"/>
      <c r="F208" s="1399"/>
      <c r="G208" s="1398"/>
      <c r="H208" s="1398"/>
      <c r="I208" s="1399"/>
      <c r="J208" s="1400"/>
      <c r="K208" s="1400"/>
      <c r="L208" s="1400"/>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8"/>
      <c r="C209" s="1401"/>
      <c r="D209" s="1400"/>
      <c r="E209" s="1400"/>
      <c r="F209" s="1400"/>
      <c r="G209" s="1398"/>
      <c r="H209" s="1398"/>
      <c r="I209" s="1399"/>
      <c r="J209" s="1399"/>
      <c r="K209" s="1399"/>
      <c r="L209" s="1399"/>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8"/>
      <c r="C210" s="1398"/>
      <c r="D210" s="1399"/>
      <c r="E210" s="1399"/>
      <c r="F210" s="1399"/>
      <c r="G210" s="1398"/>
      <c r="H210" s="1398"/>
      <c r="I210" s="1399"/>
      <c r="J210" s="1400"/>
      <c r="K210" s="1400"/>
      <c r="L210" s="1400"/>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8"/>
      <c r="C211" s="1401"/>
      <c r="D211" s="1400"/>
      <c r="E211" s="1400"/>
      <c r="F211" s="1400"/>
      <c r="G211" s="1398"/>
      <c r="H211" s="1398"/>
      <c r="I211" s="1399"/>
      <c r="J211" s="1399"/>
      <c r="K211" s="1399"/>
      <c r="L211" s="1399"/>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8"/>
      <c r="C212" s="1398"/>
      <c r="D212" s="1399"/>
      <c r="E212" s="1399"/>
      <c r="F212" s="1399"/>
      <c r="G212" s="1398"/>
      <c r="H212" s="1398"/>
      <c r="I212" s="1399"/>
      <c r="J212" s="1400"/>
      <c r="K212" s="1400"/>
      <c r="L212" s="1400"/>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8"/>
      <c r="C213" s="1401"/>
      <c r="D213" s="1400"/>
      <c r="E213" s="1400"/>
      <c r="F213" s="1400"/>
      <c r="G213" s="1398"/>
      <c r="H213" s="1398"/>
      <c r="I213" s="1399"/>
      <c r="J213" s="1399"/>
      <c r="K213" s="1399"/>
      <c r="L213" s="1399"/>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8"/>
      <c r="C214" s="1398"/>
      <c r="D214" s="1399"/>
      <c r="E214" s="1399"/>
      <c r="F214" s="1399"/>
      <c r="G214" s="1398"/>
      <c r="H214" s="1398"/>
      <c r="I214" s="1399"/>
      <c r="J214" s="1400"/>
      <c r="K214" s="1400"/>
      <c r="L214" s="1400"/>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8"/>
      <c r="C215" s="1401"/>
      <c r="D215" s="1400"/>
      <c r="E215" s="1400"/>
      <c r="F215" s="1400"/>
      <c r="G215" s="1398"/>
      <c r="H215" s="1398"/>
      <c r="I215" s="1399"/>
      <c r="J215" s="1399"/>
      <c r="K215" s="1399"/>
      <c r="L215" s="1399"/>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8"/>
      <c r="C216" s="1398"/>
      <c r="D216" s="1399"/>
      <c r="E216" s="1399"/>
      <c r="F216" s="1399"/>
      <c r="G216" s="1398"/>
      <c r="H216" s="1398"/>
      <c r="I216" s="1399"/>
      <c r="J216" s="1400"/>
      <c r="K216" s="1400"/>
      <c r="L216" s="1400"/>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8"/>
      <c r="C217" s="1401"/>
      <c r="D217" s="1400"/>
      <c r="E217" s="1400"/>
      <c r="F217" s="1400"/>
      <c r="G217" s="1398"/>
      <c r="H217" s="1398"/>
      <c r="I217" s="1399"/>
      <c r="J217" s="1399"/>
      <c r="K217" s="1399"/>
      <c r="L217" s="1399"/>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8"/>
      <c r="C218" s="1398"/>
      <c r="D218" s="1399"/>
      <c r="E218" s="1399"/>
      <c r="F218" s="1399"/>
      <c r="G218" s="1398"/>
      <c r="H218" s="1398"/>
      <c r="I218" s="1399"/>
      <c r="J218" s="1400"/>
      <c r="K218" s="1400"/>
      <c r="L218" s="1400"/>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8"/>
      <c r="C219" s="1401"/>
      <c r="D219" s="1400"/>
      <c r="E219" s="1400"/>
      <c r="F219" s="1400"/>
      <c r="G219" s="1398"/>
      <c r="H219" s="1398"/>
      <c r="I219" s="1399"/>
      <c r="J219" s="1399"/>
      <c r="K219" s="1399"/>
      <c r="L219" s="1399"/>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8"/>
      <c r="C220" s="1398"/>
      <c r="D220" s="1399"/>
      <c r="E220" s="1399"/>
      <c r="F220" s="1399"/>
      <c r="G220" s="1398"/>
      <c r="H220" s="1398"/>
      <c r="I220" s="1399"/>
      <c r="J220" s="1400"/>
      <c r="K220" s="1400"/>
      <c r="L220" s="1400"/>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8"/>
      <c r="C221" s="1401"/>
      <c r="D221" s="1400"/>
      <c r="E221" s="1400"/>
      <c r="F221" s="1400"/>
      <c r="G221" s="1398"/>
      <c r="H221" s="1398"/>
      <c r="I221" s="1399"/>
      <c r="J221" s="1399"/>
      <c r="K221" s="1399"/>
      <c r="L221" s="1399"/>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8"/>
      <c r="C222" s="1398"/>
      <c r="D222" s="1399"/>
      <c r="E222" s="1399"/>
      <c r="F222" s="1399"/>
      <c r="G222" s="1398"/>
      <c r="H222" s="1398"/>
      <c r="I222" s="1399"/>
      <c r="J222" s="1400"/>
      <c r="K222" s="1400"/>
      <c r="L222" s="1400"/>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8"/>
      <c r="C223" s="1401"/>
      <c r="D223" s="1400"/>
      <c r="E223" s="1400"/>
      <c r="F223" s="1400"/>
      <c r="G223" s="1398"/>
      <c r="H223" s="1398"/>
      <c r="I223" s="1399"/>
      <c r="J223" s="1399"/>
      <c r="K223" s="1399"/>
      <c r="L223" s="1399"/>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8"/>
      <c r="C224" s="1398"/>
      <c r="D224" s="1399"/>
      <c r="E224" s="1399"/>
      <c r="F224" s="1399"/>
      <c r="G224" s="1398"/>
      <c r="H224" s="1398"/>
      <c r="I224" s="1399"/>
      <c r="J224" s="1400"/>
      <c r="K224" s="1400"/>
      <c r="L224" s="1400"/>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8"/>
      <c r="C225" s="1401"/>
      <c r="D225" s="1400"/>
      <c r="E225" s="1400"/>
      <c r="F225" s="1400"/>
      <c r="G225" s="1398"/>
      <c r="H225" s="1398"/>
      <c r="I225" s="1399"/>
      <c r="J225" s="1399"/>
      <c r="K225" s="1399"/>
      <c r="L225" s="1399"/>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8"/>
      <c r="C226" s="1398"/>
      <c r="D226" s="1399"/>
      <c r="E226" s="1399"/>
      <c r="F226" s="1399"/>
      <c r="G226" s="1398"/>
      <c r="H226" s="1398"/>
      <c r="I226" s="1399"/>
      <c r="J226" s="1400"/>
      <c r="K226" s="1400"/>
      <c r="L226" s="1400"/>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8"/>
      <c r="C227" s="1401"/>
      <c r="D227" s="1400"/>
      <c r="E227" s="1400"/>
      <c r="F227" s="1400"/>
      <c r="G227" s="1398"/>
      <c r="H227" s="1398"/>
      <c r="I227" s="1399"/>
      <c r="J227" s="1399"/>
      <c r="K227" s="1399"/>
      <c r="L227" s="1399"/>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8"/>
      <c r="C228" s="1398"/>
      <c r="D228" s="1399"/>
      <c r="E228" s="1399"/>
      <c r="F228" s="1399"/>
      <c r="G228" s="1398"/>
      <c r="H228" s="1398"/>
      <c r="I228" s="1399"/>
      <c r="J228" s="1400"/>
      <c r="K228" s="1400"/>
      <c r="L228" s="1400"/>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8"/>
      <c r="C229" s="1401"/>
      <c r="D229" s="1400"/>
      <c r="E229" s="1400"/>
      <c r="F229" s="1400"/>
      <c r="G229" s="1398"/>
      <c r="H229" s="1398"/>
      <c r="I229" s="1399"/>
      <c r="J229" s="1399"/>
      <c r="K229" s="1399"/>
      <c r="L229" s="1399"/>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8"/>
      <c r="C230" s="1401"/>
      <c r="D230" s="1400"/>
      <c r="E230" s="1400"/>
      <c r="F230" s="1400"/>
      <c r="G230" s="1398"/>
      <c r="H230" s="1398"/>
      <c r="I230" s="1399"/>
      <c r="J230" s="1399"/>
      <c r="K230" s="1399"/>
      <c r="L230" s="1399"/>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8"/>
      <c r="C231" s="1398"/>
      <c r="D231" s="1399"/>
      <c r="E231" s="1399"/>
      <c r="F231" s="1399"/>
      <c r="G231" s="1398"/>
      <c r="H231" s="1398"/>
      <c r="I231" s="1399"/>
      <c r="J231" s="1400"/>
      <c r="K231" s="1400"/>
      <c r="L231" s="1400"/>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8"/>
      <c r="C232" s="1401"/>
      <c r="D232" s="1400"/>
      <c r="E232" s="1400"/>
      <c r="F232" s="1400"/>
      <c r="G232" s="1398"/>
      <c r="H232" s="1398"/>
      <c r="I232" s="1399"/>
      <c r="J232" s="1399"/>
      <c r="K232" s="1399"/>
      <c r="L232" s="1399"/>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8"/>
      <c r="C233" s="1398"/>
      <c r="D233" s="1399"/>
      <c r="E233" s="1399"/>
      <c r="F233" s="1399"/>
      <c r="G233" s="1398"/>
      <c r="H233" s="1398"/>
      <c r="I233" s="1399"/>
      <c r="J233" s="1400"/>
      <c r="K233" s="1400"/>
      <c r="L233" s="1400"/>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8"/>
      <c r="C234" s="1401"/>
      <c r="D234" s="1400"/>
      <c r="E234" s="1400"/>
      <c r="F234" s="1400"/>
      <c r="G234" s="1398"/>
      <c r="H234" s="1398"/>
      <c r="I234" s="1399"/>
      <c r="J234" s="1399"/>
      <c r="K234" s="1399"/>
      <c r="L234" s="1399"/>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8"/>
      <c r="C235" s="1401"/>
      <c r="D235" s="1400"/>
      <c r="E235" s="1400"/>
      <c r="F235" s="1400"/>
      <c r="G235" s="1398"/>
      <c r="H235" s="1398"/>
      <c r="I235" s="1399"/>
      <c r="J235" s="1399"/>
      <c r="K235" s="1399"/>
      <c r="L235" s="1399"/>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8"/>
      <c r="C236" s="1398"/>
      <c r="D236" s="1399"/>
      <c r="E236" s="1399"/>
      <c r="F236" s="1399"/>
      <c r="G236" s="1398"/>
      <c r="H236" s="1398"/>
      <c r="I236" s="1399"/>
      <c r="J236" s="1400"/>
      <c r="K236" s="1400"/>
      <c r="L236" s="1400"/>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8"/>
      <c r="C237" s="1401"/>
      <c r="D237" s="1400"/>
      <c r="E237" s="1400"/>
      <c r="F237" s="1400"/>
      <c r="G237" s="1398"/>
      <c r="H237" s="1398"/>
      <c r="I237" s="1399"/>
      <c r="J237" s="1399"/>
      <c r="K237" s="1399"/>
      <c r="L237" s="1399"/>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8"/>
      <c r="C238" s="1398"/>
      <c r="D238" s="1399"/>
      <c r="E238" s="1399"/>
      <c r="F238" s="1399"/>
      <c r="G238" s="1398"/>
      <c r="H238" s="1398"/>
      <c r="I238" s="1399"/>
      <c r="J238" s="1400"/>
      <c r="K238" s="1400"/>
      <c r="L238" s="1400"/>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8"/>
      <c r="C239" s="1401"/>
      <c r="D239" s="1400"/>
      <c r="E239" s="1400"/>
      <c r="F239" s="1400"/>
      <c r="G239" s="1398"/>
      <c r="H239" s="1398"/>
      <c r="I239" s="1399"/>
      <c r="J239" s="1399"/>
      <c r="K239" s="1399"/>
      <c r="L239" s="1399"/>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8"/>
      <c r="C240" s="1398"/>
      <c r="D240" s="1399"/>
      <c r="E240" s="1399"/>
      <c r="F240" s="1399"/>
      <c r="G240" s="1398"/>
      <c r="H240" s="1398"/>
      <c r="I240" s="1399"/>
      <c r="J240" s="1400"/>
      <c r="K240" s="1400"/>
      <c r="L240" s="1400"/>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8"/>
      <c r="C241" s="1401"/>
      <c r="D241" s="1400"/>
      <c r="E241" s="1400"/>
      <c r="F241" s="1400"/>
      <c r="G241" s="1398"/>
      <c r="H241" s="1398"/>
      <c r="I241" s="1399"/>
      <c r="J241" s="1399"/>
      <c r="K241" s="1399"/>
      <c r="L241" s="1399"/>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8"/>
      <c r="C242" s="1398"/>
      <c r="D242" s="1399"/>
      <c r="E242" s="1399"/>
      <c r="F242" s="1399"/>
      <c r="G242" s="1398"/>
      <c r="H242" s="1398"/>
      <c r="I242" s="1399"/>
      <c r="J242" s="1400"/>
      <c r="K242" s="1400"/>
      <c r="L242" s="1400"/>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8"/>
      <c r="C243" s="1401"/>
      <c r="D243" s="1400"/>
      <c r="E243" s="1400"/>
      <c r="F243" s="1400"/>
      <c r="G243" s="1398"/>
      <c r="H243" s="1398"/>
      <c r="I243" s="1399"/>
      <c r="J243" s="1399"/>
      <c r="K243" s="1399"/>
      <c r="L243" s="1399"/>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8"/>
      <c r="C244" s="1398"/>
      <c r="D244" s="1399"/>
      <c r="E244" s="1399"/>
      <c r="F244" s="1399"/>
      <c r="G244" s="1398"/>
      <c r="H244" s="1398"/>
      <c r="I244" s="1399"/>
      <c r="J244" s="1400"/>
      <c r="K244" s="1400"/>
      <c r="L244" s="1400"/>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8"/>
      <c r="C245" s="1401"/>
      <c r="D245" s="1400"/>
      <c r="E245" s="1400"/>
      <c r="F245" s="1400"/>
      <c r="G245" s="1398"/>
      <c r="H245" s="1398"/>
      <c r="I245" s="1399"/>
      <c r="J245" s="1399"/>
      <c r="K245" s="1399"/>
      <c r="L245" s="1399"/>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8"/>
      <c r="C246" s="1398"/>
      <c r="D246" s="1399"/>
      <c r="E246" s="1399"/>
      <c r="F246" s="1399"/>
      <c r="G246" s="1398"/>
      <c r="H246" s="1398"/>
      <c r="I246" s="1399"/>
      <c r="J246" s="1400"/>
      <c r="K246" s="1400"/>
      <c r="L246" s="1400"/>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8"/>
      <c r="C247" s="1401"/>
      <c r="D247" s="1400"/>
      <c r="E247" s="1400"/>
      <c r="F247" s="1400"/>
      <c r="G247" s="1398"/>
      <c r="H247" s="1398"/>
      <c r="I247" s="1399"/>
      <c r="J247" s="1399"/>
      <c r="K247" s="1399"/>
      <c r="L247" s="1399"/>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8"/>
      <c r="C248" s="1398"/>
      <c r="D248" s="1399"/>
      <c r="E248" s="1399"/>
      <c r="F248" s="1399"/>
      <c r="G248" s="1398"/>
      <c r="H248" s="1398"/>
      <c r="I248" s="1399"/>
      <c r="J248" s="1400"/>
      <c r="K248" s="1400"/>
      <c r="L248" s="1400"/>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8"/>
      <c r="C249" s="1401"/>
      <c r="D249" s="1400"/>
      <c r="E249" s="1400"/>
      <c r="F249" s="1400"/>
      <c r="G249" s="1398"/>
      <c r="H249" s="1398"/>
      <c r="I249" s="1399"/>
      <c r="J249" s="1399"/>
      <c r="K249" s="1399"/>
      <c r="L249" s="1399"/>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8"/>
      <c r="C250" s="1398"/>
      <c r="D250" s="1399"/>
      <c r="E250" s="1399"/>
      <c r="F250" s="1399"/>
      <c r="G250" s="1398"/>
      <c r="H250" s="1398"/>
      <c r="I250" s="1399"/>
      <c r="J250" s="1400"/>
      <c r="K250" s="1400"/>
      <c r="L250" s="1400"/>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8"/>
      <c r="C251" s="1401"/>
      <c r="D251" s="1400"/>
      <c r="E251" s="1400"/>
      <c r="F251" s="1400"/>
      <c r="G251" s="1398"/>
      <c r="H251" s="1398"/>
      <c r="I251" s="1399"/>
      <c r="J251" s="1399"/>
      <c r="K251" s="1399"/>
      <c r="L251" s="1399"/>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8"/>
      <c r="C252" s="1401"/>
      <c r="D252" s="1400"/>
      <c r="E252" s="1400"/>
      <c r="F252" s="1400"/>
      <c r="G252" s="1398"/>
      <c r="H252" s="1398"/>
      <c r="I252" s="1399"/>
      <c r="J252" s="1399"/>
      <c r="K252" s="1399"/>
      <c r="L252" s="1399"/>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8"/>
      <c r="C253" s="1401"/>
      <c r="D253" s="1400"/>
      <c r="E253" s="1400"/>
      <c r="F253" s="1400"/>
      <c r="G253" s="1398"/>
      <c r="H253" s="1398"/>
      <c r="I253" s="1399"/>
      <c r="J253" s="1399"/>
      <c r="K253" s="1399"/>
      <c r="L253" s="1399"/>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8"/>
      <c r="C254" s="1401"/>
      <c r="D254" s="1400"/>
      <c r="E254" s="1400"/>
      <c r="F254" s="1400"/>
      <c r="G254" s="1398"/>
      <c r="H254" s="1398"/>
      <c r="I254" s="1399"/>
      <c r="J254" s="1399"/>
      <c r="K254" s="1399"/>
      <c r="L254" s="1399"/>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8"/>
      <c r="C255" s="1401"/>
      <c r="D255" s="1400"/>
      <c r="E255" s="1400"/>
      <c r="F255" s="1400"/>
      <c r="G255" s="1398"/>
      <c r="H255" s="1398"/>
      <c r="I255" s="1399"/>
      <c r="J255" s="1399"/>
      <c r="K255" s="1399"/>
      <c r="L255" s="1399"/>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8"/>
      <c r="C256" s="1401"/>
      <c r="D256" s="1400"/>
      <c r="E256" s="1400"/>
      <c r="F256" s="1400"/>
      <c r="G256" s="1398"/>
      <c r="H256" s="1398"/>
      <c r="I256" s="1399"/>
      <c r="J256" s="1399"/>
      <c r="K256" s="1399"/>
      <c r="L256" s="1399"/>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8"/>
      <c r="C257" s="1401"/>
      <c r="D257" s="1400"/>
      <c r="E257" s="1400"/>
      <c r="F257" s="1400"/>
      <c r="G257" s="1398"/>
      <c r="H257" s="1398"/>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8"/>
      <c r="C258" s="1401"/>
      <c r="D258" s="1400"/>
      <c r="E258" s="1400"/>
      <c r="F258" s="1400"/>
      <c r="G258" s="1398"/>
      <c r="H258" s="1398"/>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8"/>
      <c r="C259" s="1401"/>
      <c r="D259" s="1400"/>
      <c r="E259" s="1400"/>
      <c r="F259" s="1400"/>
      <c r="G259" s="1398"/>
      <c r="H259" s="1398"/>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8"/>
      <c r="C260" s="1401"/>
      <c r="D260" s="1400"/>
      <c r="E260" s="1400"/>
      <c r="F260" s="1400"/>
      <c r="G260" s="1398"/>
      <c r="H260" s="1398"/>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8"/>
      <c r="C261" s="1401"/>
      <c r="D261" s="1400"/>
      <c r="E261" s="1400"/>
      <c r="F261" s="1400"/>
      <c r="G261" s="1398"/>
      <c r="H261" s="1398"/>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8"/>
      <c r="C262" s="1401"/>
      <c r="D262" s="1400"/>
      <c r="E262" s="1400"/>
      <c r="F262" s="1400"/>
      <c r="G262" s="1398"/>
      <c r="H262" s="1398"/>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8"/>
      <c r="C263" s="1401"/>
      <c r="D263" s="1400"/>
      <c r="E263" s="1400"/>
      <c r="F263" s="1400"/>
      <c r="G263" s="1398"/>
      <c r="H263" s="1398"/>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8"/>
      <c r="C264" s="1401"/>
      <c r="D264" s="1400"/>
      <c r="E264" s="1400"/>
      <c r="F264" s="1400"/>
      <c r="G264" s="1398"/>
      <c r="H264" s="1398"/>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8"/>
      <c r="C265" s="1401"/>
      <c r="D265" s="1400"/>
      <c r="E265" s="1400"/>
      <c r="F265" s="1400"/>
      <c r="G265" s="1398"/>
      <c r="H265" s="1398"/>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8"/>
      <c r="C266" s="1401"/>
      <c r="D266" s="1400"/>
      <c r="E266" s="1400"/>
      <c r="F266" s="1400"/>
      <c r="G266" s="1398"/>
      <c r="H266" s="1398"/>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8"/>
      <c r="C267" s="1401"/>
      <c r="D267" s="1400"/>
      <c r="E267" s="1400"/>
      <c r="F267" s="1400"/>
      <c r="G267" s="1398"/>
      <c r="H267" s="1398"/>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8"/>
      <c r="C268" s="1401"/>
      <c r="D268" s="1400"/>
      <c r="E268" s="1400"/>
      <c r="F268" s="1400"/>
      <c r="G268" s="1398"/>
      <c r="H268" s="1398"/>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8"/>
      <c r="C269" s="1401"/>
      <c r="D269" s="1400"/>
      <c r="E269" s="1400"/>
      <c r="F269" s="1400"/>
      <c r="G269" s="1398"/>
      <c r="H269" s="1398"/>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8"/>
      <c r="C270" s="1401"/>
      <c r="D270" s="1400"/>
      <c r="E270" s="1400"/>
      <c r="F270" s="1400"/>
      <c r="G270" s="1398"/>
      <c r="H270" s="1398"/>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8"/>
      <c r="C271" s="1401"/>
      <c r="D271" s="1400"/>
      <c r="E271" s="1400"/>
      <c r="F271" s="1400"/>
      <c r="G271" s="1398"/>
      <c r="H271" s="1398"/>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8"/>
      <c r="C272" s="1401"/>
      <c r="D272" s="1400"/>
      <c r="E272" s="1400"/>
      <c r="F272" s="1400"/>
      <c r="G272" s="1398"/>
      <c r="H272" s="1398"/>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8"/>
      <c r="C273" s="1401"/>
      <c r="D273" s="1400"/>
      <c r="E273" s="1400"/>
      <c r="F273" s="1400"/>
      <c r="G273" s="1398"/>
      <c r="H273" s="1398"/>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8"/>
      <c r="C274" s="1401"/>
      <c r="D274" s="1400"/>
      <c r="E274" s="1400"/>
      <c r="F274" s="1400"/>
      <c r="G274" s="1398"/>
      <c r="H274" s="1398"/>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8"/>
      <c r="C275" s="1401"/>
      <c r="D275" s="1400"/>
      <c r="E275" s="1400"/>
      <c r="F275" s="1400"/>
      <c r="G275" s="1398"/>
      <c r="H275" s="1398"/>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8"/>
      <c r="C276" s="1401"/>
      <c r="D276" s="1400"/>
      <c r="E276" s="1400"/>
      <c r="F276" s="1400"/>
      <c r="G276" s="1398"/>
      <c r="H276" s="1398"/>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8"/>
      <c r="C277" s="1401"/>
      <c r="D277" s="1400"/>
      <c r="E277" s="1400"/>
      <c r="F277" s="1400"/>
      <c r="G277" s="1398"/>
      <c r="H277" s="1398"/>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8"/>
      <c r="C278" s="1401"/>
      <c r="D278" s="1400"/>
      <c r="E278" s="1400"/>
      <c r="F278" s="1400"/>
      <c r="G278" s="1398"/>
      <c r="H278" s="1398"/>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8"/>
      <c r="C279" s="1401"/>
      <c r="D279" s="1400"/>
      <c r="E279" s="1400"/>
      <c r="F279" s="1400"/>
      <c r="G279" s="1398"/>
      <c r="H279" s="1398"/>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8"/>
      <c r="C280" s="1401"/>
      <c r="D280" s="1400"/>
      <c r="E280" s="1400"/>
      <c r="F280" s="1400"/>
      <c r="G280" s="1398"/>
      <c r="H280" s="1398"/>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8"/>
      <c r="C281" s="1401"/>
      <c r="D281" s="1400"/>
      <c r="E281" s="1400"/>
      <c r="F281" s="1400"/>
      <c r="G281" s="1398"/>
      <c r="H281" s="1398"/>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8"/>
      <c r="C282" s="1401"/>
      <c r="D282" s="1400"/>
      <c r="E282" s="1400"/>
      <c r="F282" s="1400"/>
      <c r="G282" s="1398"/>
      <c r="H282" s="1398"/>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8"/>
      <c r="C283" s="1401"/>
      <c r="D283" s="1400"/>
      <c r="E283" s="1400"/>
      <c r="F283" s="1400"/>
      <c r="G283" s="1398"/>
      <c r="H283" s="1398"/>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8"/>
      <c r="C284" s="1401"/>
      <c r="D284" s="1400"/>
      <c r="E284" s="1400"/>
      <c r="F284" s="1400"/>
      <c r="G284" s="1398"/>
      <c r="H284" s="1398"/>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8"/>
      <c r="C285" s="1401"/>
      <c r="D285" s="1400"/>
      <c r="E285" s="1400"/>
      <c r="F285" s="1400"/>
      <c r="G285" s="1398"/>
      <c r="H285" s="1398"/>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8"/>
      <c r="C286" s="1401"/>
      <c r="D286" s="1400"/>
      <c r="E286" s="1400"/>
      <c r="F286" s="1400"/>
      <c r="G286" s="1398"/>
      <c r="H286" s="1398"/>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8"/>
      <c r="C287" s="1401"/>
      <c r="D287" s="1400"/>
      <c r="E287" s="1400"/>
      <c r="F287" s="1400"/>
      <c r="G287" s="1398"/>
      <c r="H287" s="1398"/>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8"/>
      <c r="C288" s="1401"/>
      <c r="D288" s="1400"/>
      <c r="E288" s="1400"/>
      <c r="F288" s="1400"/>
      <c r="G288" s="1398"/>
      <c r="H288" s="1398"/>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8"/>
      <c r="C289" s="1401"/>
      <c r="D289" s="1400"/>
      <c r="E289" s="1400"/>
      <c r="F289" s="1400"/>
      <c r="G289" s="1398"/>
      <c r="H289" s="1398"/>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8"/>
      <c r="C290" s="1401"/>
      <c r="D290" s="1400"/>
      <c r="E290" s="1400"/>
      <c r="F290" s="1400"/>
      <c r="G290" s="1398"/>
      <c r="H290" s="1398"/>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8"/>
      <c r="C291" s="1401"/>
      <c r="D291" s="1400"/>
      <c r="E291" s="1400"/>
      <c r="F291" s="1400"/>
      <c r="G291" s="1398"/>
      <c r="H291" s="1398"/>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8"/>
      <c r="C292" s="1401"/>
      <c r="D292" s="1400"/>
      <c r="E292" s="1400"/>
      <c r="F292" s="1400"/>
      <c r="G292" s="1398"/>
      <c r="H292" s="1398"/>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8"/>
      <c r="C293" s="1401"/>
      <c r="D293" s="1400"/>
      <c r="E293" s="1400"/>
      <c r="F293" s="1400"/>
      <c r="G293" s="1398"/>
      <c r="H293" s="1398"/>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8"/>
      <c r="C294" s="1401"/>
      <c r="D294" s="1400"/>
      <c r="E294" s="1400"/>
      <c r="F294" s="1400"/>
      <c r="G294" s="1398"/>
      <c r="H294" s="1398"/>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8"/>
      <c r="C295" s="1401"/>
      <c r="D295" s="1400"/>
      <c r="E295" s="1400"/>
      <c r="F295" s="1400"/>
      <c r="G295" s="1398"/>
      <c r="H295" s="1398"/>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8"/>
      <c r="C296" s="1401"/>
      <c r="D296" s="1400"/>
      <c r="E296" s="1400"/>
      <c r="F296" s="1400"/>
      <c r="G296" s="1398"/>
      <c r="H296" s="1398"/>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8"/>
      <c r="C297" s="1401"/>
      <c r="D297" s="1400"/>
      <c r="E297" s="1400"/>
      <c r="F297" s="1400"/>
      <c r="G297" s="1398"/>
      <c r="H297" s="1398"/>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8"/>
      <c r="C298" s="1401"/>
      <c r="D298" s="1400"/>
      <c r="E298" s="1400"/>
      <c r="F298" s="1400"/>
      <c r="G298" s="1398"/>
      <c r="H298" s="1398"/>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8"/>
      <c r="C299" s="1401"/>
      <c r="D299" s="1400"/>
      <c r="E299" s="1400"/>
      <c r="F299" s="1400"/>
      <c r="G299" s="1398"/>
      <c r="H299" s="1398"/>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8"/>
      <c r="C300" s="1401"/>
      <c r="D300" s="1400"/>
      <c r="E300" s="1400"/>
      <c r="F300" s="1400"/>
      <c r="G300" s="1398"/>
      <c r="H300" s="1398"/>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8"/>
      <c r="C301" s="1401"/>
      <c r="D301" s="1400"/>
      <c r="E301" s="1400"/>
      <c r="F301" s="1400"/>
      <c r="G301" s="1398"/>
      <c r="H301" s="1398"/>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8"/>
      <c r="C302" s="1401"/>
      <c r="D302" s="1400"/>
      <c r="E302" s="1400"/>
      <c r="F302" s="1400"/>
      <c r="G302" s="1398"/>
      <c r="H302" s="1398"/>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8"/>
      <c r="C303" s="1401"/>
      <c r="D303" s="1400"/>
      <c r="E303" s="1400"/>
      <c r="F303" s="1400"/>
      <c r="G303" s="1398"/>
      <c r="H303" s="1398"/>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8"/>
      <c r="C304" s="1401"/>
      <c r="D304" s="1400"/>
      <c r="E304" s="1400"/>
      <c r="F304" s="1400"/>
      <c r="G304" s="1398"/>
      <c r="H304" s="1398"/>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8"/>
      <c r="C305" s="1401"/>
      <c r="D305" s="1400"/>
      <c r="E305" s="1400"/>
      <c r="F305" s="1400"/>
      <c r="G305" s="1398"/>
      <c r="H305" s="1398"/>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8"/>
      <c r="C306" s="1401"/>
      <c r="D306" s="1400"/>
      <c r="E306" s="1400"/>
      <c r="F306" s="1400"/>
      <c r="G306" s="1398"/>
      <c r="H306" s="1398"/>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8"/>
      <c r="C307" s="1401"/>
      <c r="D307" s="1400"/>
      <c r="E307" s="1400"/>
      <c r="F307" s="1400"/>
      <c r="G307" s="1398"/>
      <c r="H307" s="1398"/>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8"/>
      <c r="C308" s="1401"/>
      <c r="D308" s="1400"/>
      <c r="E308" s="1400"/>
      <c r="F308" s="1400"/>
      <c r="G308" s="1398"/>
      <c r="H308" s="1398"/>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8"/>
      <c r="C309" s="1401"/>
      <c r="D309" s="1400"/>
      <c r="E309" s="1400"/>
      <c r="F309" s="1400"/>
      <c r="G309" s="1398"/>
      <c r="H309" s="1398"/>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8"/>
      <c r="C310" s="1401"/>
      <c r="D310" s="1400"/>
      <c r="E310" s="1400"/>
      <c r="F310" s="1400"/>
      <c r="G310" s="1398"/>
      <c r="H310" s="1398"/>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8"/>
      <c r="C311" s="1401"/>
      <c r="D311" s="1400"/>
      <c r="E311" s="1400"/>
      <c r="F311" s="1400"/>
      <c r="G311" s="1398"/>
      <c r="H311" s="1398"/>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8"/>
      <c r="C312" s="1401"/>
      <c r="D312" s="1400"/>
      <c r="E312" s="1400"/>
      <c r="F312" s="1400"/>
      <c r="G312" s="1398"/>
      <c r="H312" s="1398"/>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8"/>
      <c r="C313" s="1401"/>
      <c r="D313" s="1400"/>
      <c r="E313" s="1400"/>
      <c r="F313" s="1400"/>
      <c r="G313" s="1398"/>
      <c r="H313" s="1398"/>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8"/>
      <c r="C314" s="1401"/>
      <c r="D314" s="1400"/>
      <c r="E314" s="1400"/>
      <c r="F314" s="1400"/>
      <c r="G314" s="1398"/>
      <c r="H314" s="1398"/>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8"/>
      <c r="C315" s="1401"/>
      <c r="D315" s="1400"/>
      <c r="E315" s="1400"/>
      <c r="F315" s="1400"/>
      <c r="G315" s="1398"/>
      <c r="H315" s="1398"/>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8"/>
      <c r="C316" s="1401"/>
      <c r="D316" s="1400"/>
      <c r="E316" s="1400"/>
      <c r="F316" s="1400"/>
      <c r="G316" s="1398"/>
      <c r="H316" s="1398"/>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8"/>
      <c r="C317" s="1401"/>
      <c r="D317" s="1400"/>
      <c r="E317" s="1400"/>
      <c r="F317" s="1400"/>
      <c r="G317" s="1398"/>
      <c r="H317" s="1398"/>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8"/>
      <c r="C318" s="1401"/>
      <c r="D318" s="1400"/>
      <c r="E318" s="1400"/>
      <c r="F318" s="1400"/>
      <c r="G318" s="1398"/>
      <c r="H318" s="1398"/>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8"/>
      <c r="C319" s="1401"/>
      <c r="D319" s="1400"/>
      <c r="E319" s="1400"/>
      <c r="F319" s="1400"/>
      <c r="G319" s="1398"/>
      <c r="H319" s="1398"/>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8"/>
      <c r="C320" s="1401"/>
      <c r="D320" s="1400"/>
      <c r="E320" s="1400"/>
      <c r="F320" s="1400"/>
      <c r="G320" s="1398"/>
      <c r="H320" s="1398"/>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8"/>
      <c r="C321" s="1401"/>
      <c r="D321" s="1400"/>
      <c r="E321" s="1400"/>
      <c r="F321" s="1400"/>
      <c r="G321" s="1398"/>
      <c r="H321" s="1398"/>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8"/>
      <c r="C322" s="1401"/>
      <c r="D322" s="1400"/>
      <c r="E322" s="1400"/>
      <c r="F322" s="1400"/>
      <c r="G322" s="1398"/>
      <c r="H322" s="1398"/>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8"/>
      <c r="C323" s="1401"/>
      <c r="D323" s="1400"/>
      <c r="E323" s="1400"/>
      <c r="F323" s="1400"/>
      <c r="G323" s="1398"/>
      <c r="H323" s="1398"/>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8"/>
      <c r="C324" s="1401"/>
      <c r="D324" s="1400"/>
      <c r="E324" s="1400"/>
      <c r="F324" s="1400"/>
      <c r="G324" s="1398"/>
      <c r="H324" s="1398"/>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8"/>
      <c r="C325" s="1401"/>
      <c r="D325" s="1400"/>
      <c r="E325" s="1400"/>
      <c r="F325" s="1400"/>
      <c r="G325" s="1398"/>
      <c r="H325" s="1398"/>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8"/>
      <c r="C326" s="1401"/>
      <c r="D326" s="1400"/>
      <c r="E326" s="1400"/>
      <c r="F326" s="1400"/>
      <c r="G326" s="1398"/>
      <c r="H326" s="1398"/>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8"/>
      <c r="C327" s="1401"/>
      <c r="D327" s="1400"/>
      <c r="E327" s="1400"/>
      <c r="F327" s="1400"/>
      <c r="G327" s="1398"/>
      <c r="H327" s="1398"/>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8"/>
      <c r="C328" s="1401"/>
      <c r="D328" s="1400"/>
      <c r="E328" s="1400"/>
      <c r="F328" s="1400"/>
      <c r="G328" s="1398"/>
      <c r="H328" s="1398"/>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8"/>
      <c r="C329" s="1401"/>
      <c r="D329" s="1400"/>
      <c r="E329" s="1400"/>
      <c r="F329" s="1400"/>
      <c r="G329" s="1398"/>
      <c r="H329" s="1398"/>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8"/>
      <c r="C330" s="1401"/>
      <c r="D330" s="1400"/>
      <c r="E330" s="1400"/>
      <c r="F330" s="1400"/>
      <c r="G330" s="1398"/>
      <c r="H330" s="1398"/>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8"/>
      <c r="C331" s="1401"/>
      <c r="D331" s="1400"/>
      <c r="E331" s="1400"/>
      <c r="F331" s="1400"/>
      <c r="G331" s="1398"/>
      <c r="H331" s="1398"/>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8"/>
      <c r="C332" s="1401"/>
      <c r="D332" s="1400"/>
      <c r="E332" s="1400"/>
      <c r="F332" s="1400"/>
      <c r="G332" s="1398"/>
      <c r="H332" s="1398"/>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8"/>
      <c r="C333" s="1401"/>
      <c r="D333" s="1400"/>
      <c r="E333" s="1400"/>
      <c r="F333" s="1400"/>
      <c r="G333" s="1398"/>
      <c r="H333" s="1398"/>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8"/>
      <c r="C334" s="1401"/>
      <c r="D334" s="1400"/>
      <c r="E334" s="1400"/>
      <c r="F334" s="1400"/>
      <c r="G334" s="1398"/>
      <c r="H334" s="1398"/>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8"/>
      <c r="C335" s="1401"/>
      <c r="D335" s="1400"/>
      <c r="E335" s="1400"/>
      <c r="F335" s="1400"/>
      <c r="G335" s="1398"/>
      <c r="H335" s="1398"/>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8"/>
      <c r="C336" s="1401"/>
      <c r="D336" s="1400"/>
      <c r="E336" s="1400"/>
      <c r="F336" s="1400"/>
      <c r="G336" s="1398"/>
      <c r="H336" s="1398"/>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8"/>
      <c r="C337" s="1401"/>
      <c r="D337" s="1400"/>
      <c r="E337" s="1400"/>
      <c r="F337" s="1400"/>
      <c r="G337" s="1398"/>
      <c r="H337" s="1398"/>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8"/>
      <c r="C338" s="1401"/>
      <c r="D338" s="1400"/>
      <c r="E338" s="1400"/>
      <c r="F338" s="1400"/>
      <c r="G338" s="1398"/>
      <c r="H338" s="1398"/>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8"/>
      <c r="C339" s="1401"/>
      <c r="D339" s="1400"/>
      <c r="E339" s="1400"/>
      <c r="F339" s="1400"/>
      <c r="G339" s="1398"/>
      <c r="H339" s="1398"/>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8"/>
      <c r="C340" s="1401"/>
      <c r="D340" s="1400"/>
      <c r="E340" s="1400"/>
      <c r="F340" s="1400"/>
      <c r="G340" s="1398"/>
      <c r="H340" s="1398"/>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8"/>
      <c r="C341" s="1401"/>
      <c r="D341" s="1400"/>
      <c r="E341" s="1400"/>
      <c r="F341" s="1400"/>
      <c r="G341" s="1398"/>
      <c r="H341" s="1398"/>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8"/>
      <c r="C342" s="1401"/>
      <c r="D342" s="1400"/>
      <c r="E342" s="1400"/>
      <c r="F342" s="1400"/>
      <c r="G342" s="1398"/>
      <c r="H342" s="1398"/>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8"/>
      <c r="C343" s="1401"/>
      <c r="D343" s="1400"/>
      <c r="E343" s="1400"/>
      <c r="F343" s="1400"/>
      <c r="G343" s="1398"/>
      <c r="H343" s="1398"/>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8"/>
      <c r="C344" s="1401"/>
      <c r="D344" s="1400"/>
      <c r="E344" s="1400"/>
      <c r="F344" s="1400"/>
      <c r="G344" s="1398"/>
      <c r="H344" s="1398"/>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8"/>
      <c r="C345" s="1401"/>
      <c r="D345" s="1400"/>
      <c r="E345" s="1400"/>
      <c r="F345" s="1400"/>
      <c r="G345" s="1398"/>
      <c r="H345" s="1398"/>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8"/>
      <c r="C346" s="1401"/>
      <c r="D346" s="1400"/>
      <c r="E346" s="1400"/>
      <c r="F346" s="1400"/>
      <c r="G346" s="1398"/>
      <c r="H346" s="1398"/>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8"/>
      <c r="C347" s="1401"/>
      <c r="D347" s="1400"/>
      <c r="E347" s="1400"/>
      <c r="F347" s="1400"/>
      <c r="G347" s="1398"/>
      <c r="H347" s="1398"/>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8"/>
      <c r="C348" s="1401"/>
      <c r="D348" s="1400"/>
      <c r="E348" s="1400"/>
      <c r="F348" s="1400"/>
      <c r="G348" s="1398"/>
      <c r="H348" s="1398"/>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8"/>
      <c r="C349" s="1401"/>
      <c r="D349" s="1400"/>
      <c r="E349" s="1400"/>
      <c r="F349" s="1400"/>
      <c r="G349" s="1398"/>
      <c r="H349" s="1398"/>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8"/>
      <c r="C350" s="1401"/>
      <c r="D350" s="1400"/>
      <c r="E350" s="1400"/>
      <c r="F350" s="1400"/>
      <c r="G350" s="1398"/>
      <c r="H350" s="1398"/>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8"/>
      <c r="C351" s="1401"/>
      <c r="D351" s="1400"/>
      <c r="E351" s="1400"/>
      <c r="F351" s="1400"/>
      <c r="G351" s="1398"/>
      <c r="H351" s="1398"/>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8"/>
      <c r="C352" s="1401"/>
      <c r="D352" s="1400"/>
      <c r="E352" s="1400"/>
      <c r="F352" s="1400"/>
      <c r="G352" s="1398"/>
      <c r="H352" s="1398"/>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8"/>
      <c r="C353" s="1401"/>
      <c r="D353" s="1400"/>
      <c r="E353" s="1400"/>
      <c r="F353" s="1400"/>
      <c r="G353" s="1398"/>
      <c r="H353" s="1398"/>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8"/>
      <c r="C354" s="1401"/>
      <c r="D354" s="1400"/>
      <c r="E354" s="1400"/>
      <c r="F354" s="1400"/>
      <c r="G354" s="1398"/>
      <c r="H354" s="1398"/>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8"/>
      <c r="C355" s="1401"/>
      <c r="D355" s="1400"/>
      <c r="E355" s="1400"/>
      <c r="F355" s="1400"/>
      <c r="G355" s="1398"/>
      <c r="H355" s="1398"/>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8"/>
      <c r="C356" s="1401"/>
      <c r="D356" s="1400"/>
      <c r="E356" s="1400"/>
      <c r="F356" s="1400"/>
      <c r="G356" s="1398"/>
      <c r="H356" s="1398"/>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8"/>
      <c r="C357" s="1401"/>
      <c r="D357" s="1400"/>
      <c r="E357" s="1400"/>
      <c r="F357" s="1400"/>
      <c r="G357" s="1398"/>
      <c r="H357" s="1398"/>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8"/>
      <c r="C358" s="1401"/>
      <c r="D358" s="1400"/>
      <c r="E358" s="1400"/>
      <c r="F358" s="1400"/>
      <c r="G358" s="1398"/>
      <c r="H358" s="1398"/>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8"/>
      <c r="C359" s="1401"/>
      <c r="D359" s="1400"/>
      <c r="E359" s="1400"/>
      <c r="F359" s="1400"/>
      <c r="G359" s="1398"/>
      <c r="H359" s="1398"/>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8"/>
      <c r="C360" s="1401"/>
      <c r="D360" s="1400"/>
      <c r="E360" s="1400"/>
      <c r="F360" s="1400"/>
      <c r="G360" s="1398"/>
      <c r="H360" s="1398"/>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8"/>
      <c r="C361" s="1401"/>
      <c r="D361" s="1400"/>
      <c r="E361" s="1400"/>
      <c r="F361" s="1400"/>
      <c r="G361" s="1398"/>
      <c r="H361" s="1398"/>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8"/>
      <c r="C362" s="1401"/>
      <c r="D362" s="1400"/>
      <c r="E362" s="1400"/>
      <c r="F362" s="1400"/>
      <c r="G362" s="1398"/>
      <c r="H362" s="1398"/>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8"/>
      <c r="C363" s="1401"/>
      <c r="D363" s="1400"/>
      <c r="E363" s="1400"/>
      <c r="F363" s="1400"/>
      <c r="G363" s="1398"/>
      <c r="H363" s="1398"/>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8"/>
      <c r="C364" s="1401"/>
      <c r="D364" s="1400"/>
      <c r="E364" s="1400"/>
      <c r="F364" s="1400"/>
      <c r="G364" s="1398"/>
      <c r="H364" s="1398"/>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8"/>
      <c r="C365" s="1401"/>
      <c r="D365" s="1400"/>
      <c r="E365" s="1400"/>
      <c r="F365" s="1400"/>
      <c r="G365" s="1398"/>
      <c r="H365" s="1398"/>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8"/>
      <c r="C366" s="1401"/>
      <c r="D366" s="1400"/>
      <c r="E366" s="1400"/>
      <c r="F366" s="1400"/>
      <c r="G366" s="1398"/>
      <c r="H366" s="1398"/>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8"/>
      <c r="C367" s="1401"/>
      <c r="D367" s="1400"/>
      <c r="E367" s="1400"/>
      <c r="F367" s="1400"/>
      <c r="G367" s="1398"/>
      <c r="H367" s="1398"/>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8"/>
      <c r="C368" s="1401"/>
      <c r="D368" s="1400"/>
      <c r="E368" s="1400"/>
      <c r="F368" s="1400"/>
      <c r="G368" s="1398"/>
      <c r="H368" s="1398"/>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8"/>
      <c r="C369" s="1401"/>
      <c r="D369" s="1400"/>
      <c r="E369" s="1400"/>
      <c r="F369" s="1400"/>
      <c r="G369" s="1398"/>
      <c r="H369" s="1398"/>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8"/>
      <c r="C370" s="1401"/>
      <c r="D370" s="1400"/>
      <c r="E370" s="1400"/>
      <c r="F370" s="1400"/>
      <c r="G370" s="1398"/>
      <c r="H370" s="1398"/>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8"/>
      <c r="C371" s="1401"/>
      <c r="D371" s="1400"/>
      <c r="E371" s="1400"/>
      <c r="F371" s="1400"/>
      <c r="G371" s="1398"/>
      <c r="H371" s="1398"/>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8"/>
      <c r="C372" s="1401"/>
      <c r="D372" s="1400"/>
      <c r="E372" s="1400"/>
      <c r="F372" s="1400"/>
      <c r="G372" s="1398"/>
      <c r="H372" s="1398"/>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8"/>
      <c r="C373" s="1401"/>
      <c r="D373" s="1400"/>
      <c r="E373" s="1400"/>
      <c r="F373" s="1400"/>
      <c r="G373" s="1398"/>
      <c r="H373" s="1398"/>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8"/>
      <c r="C374" s="1401"/>
      <c r="D374" s="1400"/>
      <c r="E374" s="1400"/>
      <c r="F374" s="1400"/>
      <c r="G374" s="1398"/>
      <c r="H374" s="1398"/>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8"/>
      <c r="C375" s="1401"/>
      <c r="D375" s="1400"/>
      <c r="E375" s="1400"/>
      <c r="F375" s="1400"/>
      <c r="G375" s="1398"/>
      <c r="H375" s="1398"/>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8"/>
      <c r="C376" s="1401"/>
      <c r="D376" s="1400"/>
      <c r="E376" s="1400"/>
      <c r="F376" s="1400"/>
      <c r="G376" s="1398"/>
      <c r="H376" s="1398"/>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8"/>
      <c r="C377" s="1401"/>
      <c r="D377" s="1400"/>
      <c r="E377" s="1400"/>
      <c r="F377" s="1400"/>
      <c r="G377" s="1398"/>
      <c r="H377" s="1398"/>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8"/>
      <c r="C378" s="1401"/>
      <c r="D378" s="1400"/>
      <c r="E378" s="1400"/>
      <c r="F378" s="1400"/>
      <c r="G378" s="1398"/>
      <c r="H378" s="1398"/>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8"/>
      <c r="C379" s="1401"/>
      <c r="D379" s="1400"/>
      <c r="E379" s="1400"/>
      <c r="F379" s="1400"/>
      <c r="G379" s="1398"/>
      <c r="H379" s="1398"/>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8"/>
      <c r="C380" s="1401"/>
      <c r="D380" s="1400"/>
      <c r="E380" s="1400"/>
      <c r="F380" s="1400"/>
      <c r="G380" s="1398"/>
      <c r="H380" s="1398"/>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8"/>
      <c r="C381" s="1401"/>
      <c r="D381" s="1400"/>
      <c r="E381" s="1400"/>
      <c r="F381" s="1400"/>
      <c r="G381" s="1398"/>
      <c r="H381" s="1398"/>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8"/>
      <c r="C382" s="1401"/>
      <c r="D382" s="1400"/>
      <c r="E382" s="1400"/>
      <c r="F382" s="1400"/>
      <c r="G382" s="1398"/>
      <c r="H382" s="1398"/>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8"/>
      <c r="C383" s="1401"/>
      <c r="D383" s="1400"/>
      <c r="E383" s="1400"/>
      <c r="F383" s="1400"/>
      <c r="G383" s="1398"/>
      <c r="H383" s="1398"/>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8"/>
      <c r="C384" s="1401"/>
      <c r="D384" s="1400"/>
      <c r="E384" s="1400"/>
      <c r="F384" s="1400"/>
      <c r="G384" s="1398"/>
      <c r="H384" s="1398"/>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8"/>
      <c r="C385" s="1401"/>
      <c r="D385" s="1400"/>
      <c r="E385" s="1400"/>
      <c r="F385" s="1400"/>
      <c r="G385" s="1398"/>
      <c r="H385" s="1398"/>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8"/>
      <c r="C386" s="1401"/>
      <c r="D386" s="1400"/>
      <c r="E386" s="1400"/>
      <c r="F386" s="1400"/>
      <c r="G386" s="1398"/>
      <c r="H386" s="1398"/>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8"/>
      <c r="C387" s="1401"/>
      <c r="D387" s="1400"/>
      <c r="E387" s="1400"/>
      <c r="F387" s="1400"/>
      <c r="G387" s="1398"/>
      <c r="H387" s="1398"/>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8"/>
      <c r="C388" s="1401"/>
      <c r="D388" s="1400"/>
      <c r="E388" s="1400"/>
      <c r="F388" s="1400"/>
      <c r="G388" s="1398"/>
      <c r="H388" s="1398"/>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8"/>
      <c r="C389" s="1401"/>
      <c r="D389" s="1400"/>
      <c r="E389" s="1400"/>
      <c r="F389" s="1400"/>
      <c r="G389" s="1398"/>
      <c r="H389" s="1398"/>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8"/>
      <c r="C390" s="1401"/>
      <c r="D390" s="1400"/>
      <c r="E390" s="1400"/>
      <c r="F390" s="1400"/>
      <c r="G390" s="1398"/>
      <c r="H390" s="1398"/>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8"/>
      <c r="C391" s="1401"/>
      <c r="D391" s="1400"/>
      <c r="E391" s="1400"/>
      <c r="F391" s="1400"/>
      <c r="G391" s="1398"/>
      <c r="H391" s="1398"/>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8"/>
      <c r="C392" s="1401"/>
      <c r="D392" s="1400"/>
      <c r="E392" s="1400"/>
      <c r="F392" s="1400"/>
      <c r="G392" s="1398"/>
      <c r="H392" s="1398"/>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8"/>
      <c r="C393" s="1401"/>
      <c r="D393" s="1400"/>
      <c r="E393" s="1400"/>
      <c r="F393" s="1400"/>
      <c r="G393" s="1398"/>
      <c r="H393" s="1398"/>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8"/>
      <c r="C394" s="1401"/>
      <c r="D394" s="1400"/>
      <c r="E394" s="1400"/>
      <c r="F394" s="1400"/>
      <c r="G394" s="1398"/>
      <c r="H394" s="1398"/>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8"/>
      <c r="C395" s="1401"/>
      <c r="D395" s="1400"/>
      <c r="E395" s="1400"/>
      <c r="F395" s="1400"/>
      <c r="G395" s="1398"/>
      <c r="H395" s="1398"/>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8"/>
      <c r="C396" s="1401"/>
      <c r="D396" s="1400"/>
      <c r="E396" s="1400"/>
      <c r="F396" s="1400"/>
      <c r="G396" s="1398"/>
      <c r="H396" s="1398"/>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8"/>
      <c r="C397" s="1401"/>
      <c r="D397" s="1400"/>
      <c r="E397" s="1400"/>
      <c r="F397" s="1400"/>
      <c r="G397" s="1398"/>
      <c r="H397" s="1398"/>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8"/>
      <c r="C398" s="1401"/>
      <c r="D398" s="1400"/>
      <c r="E398" s="1400"/>
      <c r="F398" s="1400"/>
      <c r="G398" s="1398"/>
      <c r="H398" s="1398"/>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8"/>
      <c r="C399" s="1401"/>
      <c r="D399" s="1400"/>
      <c r="E399" s="1400"/>
      <c r="F399" s="1400"/>
      <c r="G399" s="1398"/>
      <c r="H399" s="1398"/>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8"/>
      <c r="C400" s="1401"/>
      <c r="D400" s="1400"/>
      <c r="E400" s="1400"/>
      <c r="F400" s="1400"/>
      <c r="G400" s="1398"/>
      <c r="H400" s="1398"/>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8"/>
      <c r="C401" s="1401"/>
      <c r="D401" s="1400"/>
      <c r="E401" s="1400"/>
      <c r="F401" s="1400"/>
      <c r="G401" s="1398"/>
      <c r="H401" s="1398"/>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8"/>
      <c r="C402" s="1401"/>
      <c r="D402" s="1400"/>
      <c r="E402" s="1400"/>
      <c r="F402" s="1400"/>
      <c r="G402" s="1398"/>
      <c r="H402" s="1398"/>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8"/>
      <c r="C403" s="1401"/>
      <c r="D403" s="1400"/>
      <c r="E403" s="1400"/>
      <c r="F403" s="1400"/>
      <c r="G403" s="1398"/>
      <c r="H403" s="1398"/>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8"/>
      <c r="C404" s="1401"/>
      <c r="D404" s="1400"/>
      <c r="E404" s="1400"/>
      <c r="F404" s="1400"/>
      <c r="G404" s="1398"/>
      <c r="H404" s="1398"/>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8"/>
      <c r="C405" s="1401"/>
      <c r="D405" s="1400"/>
      <c r="E405" s="1400"/>
      <c r="F405" s="1400"/>
      <c r="G405" s="1398"/>
      <c r="H405" s="1398"/>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8"/>
      <c r="C406" s="1401"/>
      <c r="D406" s="1400"/>
      <c r="E406" s="1400"/>
      <c r="F406" s="1400"/>
      <c r="G406" s="1398"/>
      <c r="H406" s="1398"/>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8"/>
      <c r="C407" s="1401"/>
      <c r="D407" s="1400"/>
      <c r="E407" s="1400"/>
      <c r="F407" s="1400"/>
      <c r="G407" s="1398"/>
      <c r="H407" s="1398"/>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8"/>
      <c r="C408" s="1401"/>
      <c r="D408" s="1400"/>
      <c r="E408" s="1400"/>
      <c r="F408" s="1400"/>
      <c r="G408" s="1398"/>
      <c r="H408" s="1398"/>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8"/>
      <c r="C409" s="1401"/>
      <c r="D409" s="1400"/>
      <c r="E409" s="1400"/>
      <c r="F409" s="1400"/>
      <c r="G409" s="1398"/>
      <c r="H409" s="1398"/>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8"/>
      <c r="C410" s="1401"/>
      <c r="D410" s="1400"/>
      <c r="E410" s="1400"/>
      <c r="F410" s="1400"/>
      <c r="G410" s="1398"/>
      <c r="H410" s="1398"/>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8"/>
      <c r="C411" s="1401"/>
      <c r="D411" s="1400"/>
      <c r="E411" s="1400"/>
      <c r="F411" s="1400"/>
      <c r="G411" s="1398"/>
      <c r="H411" s="1398"/>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8"/>
      <c r="C412" s="1401"/>
      <c r="D412" s="1400"/>
      <c r="E412" s="1400"/>
      <c r="F412" s="1400"/>
      <c r="G412" s="1398"/>
      <c r="H412" s="1398"/>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8"/>
      <c r="C413" s="1401"/>
      <c r="D413" s="1400"/>
      <c r="E413" s="1400"/>
      <c r="F413" s="1400"/>
      <c r="G413" s="1398"/>
      <c r="H413" s="1398"/>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8"/>
      <c r="C414" s="1401"/>
      <c r="D414" s="1400"/>
      <c r="E414" s="1400"/>
      <c r="F414" s="1400"/>
      <c r="G414" s="1398"/>
      <c r="H414" s="1398"/>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8"/>
      <c r="C415" s="1401"/>
      <c r="D415" s="1400"/>
      <c r="E415" s="1400"/>
      <c r="F415" s="1400"/>
      <c r="G415" s="1398"/>
      <c r="H415" s="1398"/>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8"/>
      <c r="C416" s="1401"/>
      <c r="D416" s="1400"/>
      <c r="E416" s="1400"/>
      <c r="F416" s="1400"/>
      <c r="G416" s="1398"/>
      <c r="H416" s="1398"/>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8"/>
      <c r="C417" s="1401"/>
      <c r="D417" s="1400"/>
      <c r="E417" s="1400"/>
      <c r="F417" s="1400"/>
      <c r="G417" s="1398"/>
      <c r="H417" s="1398"/>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8"/>
      <c r="C418" s="1401"/>
      <c r="D418" s="1400"/>
      <c r="E418" s="1400"/>
      <c r="F418" s="1400"/>
      <c r="G418" s="1398"/>
      <c r="H418" s="1398"/>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8"/>
      <c r="C419" s="1401"/>
      <c r="D419" s="1400"/>
      <c r="E419" s="1400"/>
      <c r="F419" s="1400"/>
      <c r="G419" s="1398"/>
      <c r="H419" s="1398"/>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8"/>
      <c r="C420" s="1401"/>
      <c r="D420" s="1400"/>
      <c r="E420" s="1400"/>
      <c r="F420" s="1400"/>
      <c r="G420" s="1398"/>
      <c r="H420" s="1398"/>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8"/>
      <c r="C421" s="1401"/>
      <c r="D421" s="1400"/>
      <c r="E421" s="1400"/>
      <c r="F421" s="1400"/>
      <c r="G421" s="1398"/>
      <c r="H421" s="1398"/>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8"/>
      <c r="C422" s="1401"/>
      <c r="D422" s="1400"/>
      <c r="E422" s="1400"/>
      <c r="F422" s="1400"/>
      <c r="G422" s="1398"/>
      <c r="H422" s="1398"/>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8"/>
      <c r="C423" s="1401"/>
      <c r="D423" s="1400"/>
      <c r="E423" s="1400"/>
      <c r="F423" s="1400"/>
      <c r="G423" s="1398"/>
      <c r="H423" s="1398"/>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8"/>
      <c r="C424" s="1401"/>
      <c r="D424" s="1400"/>
      <c r="E424" s="1400"/>
      <c r="F424" s="1400"/>
      <c r="G424" s="1398"/>
      <c r="H424" s="1398"/>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8"/>
      <c r="C425" s="1401"/>
      <c r="D425" s="1400"/>
      <c r="E425" s="1400"/>
      <c r="F425" s="1400"/>
      <c r="G425" s="1398"/>
      <c r="H425" s="1398"/>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8"/>
      <c r="C426" s="1401"/>
      <c r="D426" s="1400"/>
      <c r="E426" s="1400"/>
      <c r="F426" s="1400"/>
      <c r="G426" s="1398"/>
      <c r="H426" s="1398"/>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8"/>
      <c r="C427" s="1401"/>
      <c r="D427" s="1400"/>
      <c r="E427" s="1400"/>
      <c r="F427" s="1400"/>
      <c r="G427" s="1398"/>
      <c r="H427" s="1398"/>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8"/>
      <c r="C428" s="1401"/>
      <c r="D428" s="1400"/>
      <c r="E428" s="1400"/>
      <c r="F428" s="1400"/>
      <c r="G428" s="1398"/>
      <c r="H428" s="1398"/>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8"/>
      <c r="C429" s="1401"/>
      <c r="D429" s="1400"/>
      <c r="E429" s="1400"/>
      <c r="F429" s="1400"/>
      <c r="G429" s="1398"/>
      <c r="H429" s="1398"/>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8"/>
      <c r="C430" s="1401"/>
      <c r="D430" s="1400"/>
      <c r="E430" s="1400"/>
      <c r="F430" s="1400"/>
      <c r="G430" s="1398"/>
      <c r="H430" s="1398"/>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8"/>
      <c r="C431" s="1401"/>
      <c r="D431" s="1400"/>
      <c r="E431" s="1400"/>
      <c r="F431" s="1400"/>
      <c r="G431" s="1398"/>
      <c r="H431" s="1398"/>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8"/>
      <c r="C432" s="1401"/>
      <c r="D432" s="1400"/>
      <c r="E432" s="1400"/>
      <c r="F432" s="1400"/>
      <c r="G432" s="1398"/>
      <c r="H432" s="1398"/>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8"/>
      <c r="C433" s="1401"/>
      <c r="D433" s="1400"/>
      <c r="E433" s="1400"/>
      <c r="F433" s="1400"/>
      <c r="G433" s="1398"/>
      <c r="H433" s="1398"/>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8"/>
      <c r="C434" s="1401"/>
      <c r="D434" s="1400"/>
      <c r="E434" s="1400"/>
      <c r="F434" s="1400"/>
      <c r="G434" s="1398"/>
      <c r="H434" s="1398"/>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8"/>
      <c r="C435" s="1401"/>
      <c r="D435" s="1400"/>
      <c r="E435" s="1400"/>
      <c r="F435" s="1400"/>
      <c r="G435" s="1398"/>
      <c r="H435" s="1398"/>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8"/>
      <c r="C436" s="1401"/>
      <c r="D436" s="1400"/>
      <c r="E436" s="1400"/>
      <c r="F436" s="1400"/>
      <c r="G436" s="1398"/>
      <c r="H436" s="1398"/>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8"/>
      <c r="C437" s="1401"/>
      <c r="D437" s="1400"/>
      <c r="E437" s="1400"/>
      <c r="F437" s="1400"/>
      <c r="G437" s="1398"/>
      <c r="H437" s="1398"/>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8"/>
      <c r="C438" s="1401"/>
      <c r="D438" s="1400"/>
      <c r="E438" s="1400"/>
      <c r="F438" s="1400"/>
      <c r="G438" s="1398"/>
      <c r="H438" s="1398"/>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8"/>
      <c r="C439" s="1401"/>
      <c r="D439" s="1400"/>
      <c r="E439" s="1400"/>
      <c r="F439" s="1400"/>
      <c r="G439" s="1398"/>
      <c r="H439" s="1398"/>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8"/>
      <c r="C440" s="1401"/>
      <c r="D440" s="1400"/>
      <c r="E440" s="1400"/>
      <c r="F440" s="1400"/>
      <c r="G440" s="1398"/>
      <c r="H440" s="1398"/>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8"/>
      <c r="C441" s="1401"/>
      <c r="D441" s="1400"/>
      <c r="E441" s="1400"/>
      <c r="F441" s="1400"/>
      <c r="G441" s="1398"/>
      <c r="H441" s="1398"/>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8"/>
      <c r="C442" s="1401"/>
      <c r="D442" s="1400"/>
      <c r="E442" s="1400"/>
      <c r="F442" s="1400"/>
      <c r="G442" s="1398"/>
      <c r="H442" s="1398"/>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8"/>
      <c r="C443" s="1401"/>
      <c r="D443" s="1400"/>
      <c r="E443" s="1400"/>
      <c r="F443" s="1400"/>
      <c r="G443" s="1398"/>
      <c r="H443" s="1398"/>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8"/>
      <c r="C444" s="1401"/>
      <c r="D444" s="1400"/>
      <c r="E444" s="1400"/>
      <c r="F444" s="1400"/>
      <c r="G444" s="1398"/>
      <c r="H444" s="1398"/>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8"/>
      <c r="C445" s="1401"/>
      <c r="D445" s="1400"/>
      <c r="E445" s="1400"/>
      <c r="F445" s="1400"/>
      <c r="G445" s="1398"/>
      <c r="H445" s="1398"/>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8"/>
      <c r="C446" s="1401"/>
      <c r="D446" s="1400"/>
      <c r="E446" s="1400"/>
      <c r="F446" s="1400"/>
      <c r="G446" s="1398"/>
      <c r="H446" s="1398"/>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8"/>
      <c r="C447" s="1401"/>
      <c r="D447" s="1400"/>
      <c r="E447" s="1400"/>
      <c r="F447" s="1400"/>
      <c r="G447" s="1398"/>
      <c r="H447" s="1398"/>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8"/>
      <c r="C448" s="1401"/>
      <c r="D448" s="1400"/>
      <c r="E448" s="1400"/>
      <c r="F448" s="1400"/>
      <c r="G448" s="1398"/>
      <c r="H448" s="1398"/>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8"/>
      <c r="C449" s="1401"/>
      <c r="D449" s="1400"/>
      <c r="E449" s="1400"/>
      <c r="F449" s="1400"/>
      <c r="G449" s="1398"/>
      <c r="H449" s="1398"/>
      <c r="I449" s="1399"/>
      <c r="J449" s="1399"/>
      <c r="K449" s="1399"/>
      <c r="L449" s="1399"/>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8"/>
      <c r="C450" s="1401"/>
      <c r="D450" s="1400"/>
      <c r="E450" s="1400"/>
      <c r="F450" s="1400"/>
      <c r="G450" s="1398"/>
      <c r="H450" s="1398"/>
      <c r="I450" s="1399"/>
      <c r="J450" s="1399"/>
      <c r="K450" s="1399"/>
      <c r="L450" s="1399"/>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8"/>
      <c r="C451" s="1401"/>
      <c r="D451" s="1400"/>
      <c r="E451" s="1400"/>
      <c r="F451" s="1400"/>
      <c r="G451" s="1398"/>
      <c r="H451" s="1398"/>
      <c r="I451" s="1399"/>
      <c r="J451" s="1399"/>
      <c r="K451" s="1399"/>
      <c r="L451" s="1399"/>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8"/>
      <c r="C452" s="1401"/>
      <c r="D452" s="1400"/>
      <c r="E452" s="1400"/>
      <c r="F452" s="1400"/>
      <c r="G452" s="1398"/>
      <c r="H452" s="1398"/>
      <c r="I452" s="1399"/>
      <c r="J452" s="1399"/>
      <c r="K452" s="1399"/>
      <c r="L452" s="1399"/>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8"/>
      <c r="C453" s="1398"/>
      <c r="D453" s="1399"/>
      <c r="E453" s="1399"/>
      <c r="F453" s="1399"/>
      <c r="G453" s="1398"/>
      <c r="H453" s="1398"/>
      <c r="I453" s="1399"/>
      <c r="J453" s="1400"/>
      <c r="K453" s="1400"/>
      <c r="L453" s="1400"/>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8"/>
      <c r="C454" s="1401"/>
      <c r="D454" s="1400"/>
      <c r="E454" s="1400"/>
      <c r="F454" s="1400"/>
      <c r="G454" s="1398"/>
      <c r="H454" s="1398"/>
      <c r="I454" s="1399"/>
      <c r="J454" s="1399"/>
      <c r="K454" s="1399"/>
      <c r="L454" s="1399"/>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8"/>
      <c r="C455" s="1398"/>
      <c r="D455" s="1399"/>
      <c r="E455" s="1399"/>
      <c r="F455" s="1399"/>
      <c r="G455" s="1398"/>
      <c r="H455" s="1398"/>
      <c r="I455" s="1399"/>
      <c r="J455" s="1400"/>
      <c r="K455" s="1400"/>
      <c r="L455" s="1400"/>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8"/>
      <c r="C456" s="1401"/>
      <c r="D456" s="1400"/>
      <c r="E456" s="1400"/>
      <c r="F456" s="1400"/>
      <c r="G456" s="1398"/>
      <c r="H456" s="1398"/>
      <c r="I456" s="1399"/>
      <c r="J456" s="1399"/>
      <c r="K456" s="1399"/>
      <c r="L456" s="1399"/>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8"/>
      <c r="C457" s="1401"/>
      <c r="D457" s="1400"/>
      <c r="E457" s="1400"/>
      <c r="F457" s="1400"/>
      <c r="G457" s="1398"/>
      <c r="H457" s="1398"/>
      <c r="I457" s="1399"/>
      <c r="J457" s="1399"/>
      <c r="K457" s="1399"/>
      <c r="L457" s="1399"/>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8"/>
      <c r="C458" s="1398"/>
      <c r="D458" s="1399"/>
      <c r="E458" s="1399"/>
      <c r="F458" s="1399"/>
      <c r="G458" s="1398"/>
      <c r="H458" s="1398"/>
      <c r="I458" s="1399"/>
      <c r="J458" s="1400"/>
      <c r="K458" s="1400"/>
      <c r="L458" s="1400"/>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8"/>
      <c r="C459" s="1401"/>
      <c r="D459" s="1400"/>
      <c r="E459" s="1400"/>
      <c r="F459" s="1400"/>
      <c r="G459" s="1398"/>
      <c r="H459" s="1398"/>
      <c r="I459" s="1399"/>
      <c r="J459" s="1399"/>
      <c r="K459" s="1399"/>
      <c r="L459" s="1399"/>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8"/>
      <c r="C460" s="1401"/>
      <c r="D460" s="1400"/>
      <c r="E460" s="1400"/>
      <c r="F460" s="1400"/>
      <c r="G460" s="1398"/>
      <c r="H460" s="1398"/>
      <c r="I460" s="1399"/>
      <c r="J460" s="1399"/>
      <c r="K460" s="1399"/>
      <c r="L460" s="1399"/>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8"/>
      <c r="C461" s="1401"/>
      <c r="D461" s="1400"/>
      <c r="E461" s="1400"/>
      <c r="F461" s="1400"/>
      <c r="G461" s="1398"/>
      <c r="H461" s="1398"/>
      <c r="I461" s="1399"/>
      <c r="J461" s="1399"/>
      <c r="K461" s="1399"/>
      <c r="L461" s="1399"/>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8"/>
      <c r="C462" s="1398"/>
      <c r="D462" s="1399"/>
      <c r="E462" s="1399"/>
      <c r="F462" s="1399"/>
      <c r="G462" s="1398"/>
      <c r="H462" s="1398"/>
      <c r="I462" s="1399"/>
      <c r="J462" s="1400"/>
      <c r="K462" s="1400"/>
      <c r="L462" s="1400"/>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8"/>
      <c r="C463" s="1401"/>
      <c r="D463" s="1400"/>
      <c r="E463" s="1400"/>
      <c r="F463" s="1400"/>
      <c r="G463" s="1398"/>
      <c r="H463" s="1398"/>
      <c r="I463" s="1399"/>
      <c r="J463" s="1399"/>
      <c r="K463" s="1399"/>
      <c r="L463" s="1399"/>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8"/>
      <c r="C464" s="1398"/>
      <c r="D464" s="1399"/>
      <c r="E464" s="1399"/>
      <c r="F464" s="1399"/>
      <c r="G464" s="1398"/>
      <c r="H464" s="1398"/>
      <c r="I464" s="1399"/>
      <c r="J464" s="1400"/>
      <c r="K464" s="1400"/>
      <c r="L464" s="1400"/>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8"/>
      <c r="C465" s="1401"/>
      <c r="D465" s="1400"/>
      <c r="E465" s="1400"/>
      <c r="F465" s="1400"/>
      <c r="G465" s="1398"/>
      <c r="H465" s="1398"/>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8"/>
      <c r="C466" s="1401"/>
      <c r="D466" s="1400"/>
      <c r="E466" s="1400"/>
      <c r="F466" s="1400"/>
      <c r="G466" s="1398"/>
      <c r="H466" s="1398"/>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8"/>
      <c r="C467" s="1401"/>
      <c r="D467" s="1400"/>
      <c r="E467" s="1400"/>
      <c r="F467" s="1400"/>
      <c r="G467" s="1398"/>
      <c r="H467" s="1398"/>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8"/>
      <c r="C468" s="1401"/>
      <c r="D468" s="1400"/>
      <c r="E468" s="1400"/>
      <c r="F468" s="1400"/>
      <c r="G468" s="1398"/>
      <c r="H468" s="1398"/>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8"/>
      <c r="C469" s="1401"/>
      <c r="D469" s="1400"/>
      <c r="E469" s="1400"/>
      <c r="F469" s="1400"/>
      <c r="G469" s="1398"/>
      <c r="H469" s="1398"/>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6"/>
      <c r="E471" s="1396"/>
      <c r="F471" s="1396"/>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69"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69"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69"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69"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69"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69" t="s">
        <v>175</v>
      </c>
      <c r="D548" s="934" t="s">
        <v>177</v>
      </c>
      <c r="E548" s="987" t="s">
        <v>1911</v>
      </c>
      <c r="F548" s="987"/>
      <c r="G548" s="984" t="e">
        <f>+VLOOKUP(Data_Validation!$A545,BV_Data_An_Cour!$M:$R,6,0)</f>
        <v>#N/A</v>
      </c>
      <c r="H548" s="159"/>
    </row>
    <row r="549" spans="1:11" ht="15" customHeight="1">
      <c r="A549" s="162" t="s">
        <v>2532</v>
      </c>
      <c r="B549" s="163" t="s">
        <v>2531</v>
      </c>
      <c r="C549" s="1369"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7" t="s">
        <v>3422</v>
      </c>
      <c r="B560" s="1368" t="s">
        <v>3421</v>
      </c>
      <c r="C560" s="934" t="s">
        <v>75</v>
      </c>
      <c r="D560" s="934"/>
      <c r="E560" s="987" t="s">
        <v>1911</v>
      </c>
      <c r="F560" s="985"/>
      <c r="G560" s="984" t="e">
        <f>+VLOOKUP(Data_Validation!$A560,BV_Data_An_Cour!$M:$R,6,0)</f>
        <v>#N/A</v>
      </c>
      <c r="H560" s="159"/>
    </row>
    <row r="561" spans="1:8" ht="15" customHeight="1">
      <c r="A561" s="1367" t="s">
        <v>3423</v>
      </c>
      <c r="B561" s="1368" t="s">
        <v>2077</v>
      </c>
      <c r="C561" s="934" t="s">
        <v>144</v>
      </c>
      <c r="D561" s="934"/>
      <c r="E561" s="987" t="s">
        <v>1911</v>
      </c>
      <c r="F561" s="985"/>
      <c r="G561" s="984" t="e">
        <f>+VLOOKUP(Data_Validation!$A561,BV_Data_An_Cour!$M:$R,6,0)</f>
        <v>#N/A</v>
      </c>
      <c r="H561" s="159"/>
    </row>
    <row r="562" spans="1:8" ht="15" customHeight="1">
      <c r="A562" s="1367" t="s">
        <v>3425</v>
      </c>
      <c r="B562" s="1368" t="s">
        <v>3424</v>
      </c>
      <c r="C562" s="934" t="s">
        <v>144</v>
      </c>
      <c r="D562" s="934"/>
      <c r="E562" s="987" t="s">
        <v>1911</v>
      </c>
      <c r="F562" s="985"/>
      <c r="G562" s="984" t="e">
        <f>+VLOOKUP(Data_Validation!$A562,BV_Data_An_Cour!$M:$R,6,0)</f>
        <v>#N/A</v>
      </c>
      <c r="H562" s="159"/>
    </row>
    <row r="563" spans="1:8" ht="15" customHeight="1">
      <c r="A563" s="1367" t="s">
        <v>3427</v>
      </c>
      <c r="B563" s="1368" t="s">
        <v>3426</v>
      </c>
      <c r="C563" s="934" t="s">
        <v>144</v>
      </c>
      <c r="D563" s="934"/>
      <c r="E563" s="987" t="s">
        <v>1911</v>
      </c>
      <c r="F563" s="985"/>
      <c r="G563" s="984" t="e">
        <f>+VLOOKUP(Data_Validation!$A563,BV_Data_An_Cour!$M:$R,6,0)</f>
        <v>#N/A</v>
      </c>
      <c r="H563" s="159"/>
    </row>
    <row r="564" spans="1:8" ht="15" customHeight="1">
      <c r="A564" s="1367" t="s">
        <v>3429</v>
      </c>
      <c r="B564" s="1368"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298" zoomScale="80" zoomScaleNormal="80" workbookViewId="0">
      <selection activeCell="T106" sqref="T106"/>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0" t="s">
        <v>2198</v>
      </c>
      <c r="B2" s="1431">
        <v>10</v>
      </c>
      <c r="C2" s="1432"/>
      <c r="D2" s="1432"/>
      <c r="E2" s="1432"/>
      <c r="F2" s="1430" t="s">
        <v>1</v>
      </c>
      <c r="G2" s="1430" t="s">
        <v>2200</v>
      </c>
      <c r="H2" s="1432"/>
      <c r="I2" s="1433">
        <v>32869</v>
      </c>
      <c r="J2" s="1433">
        <v>0</v>
      </c>
      <c r="K2" s="1433">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0" t="s">
        <v>2201</v>
      </c>
      <c r="B3" s="1431">
        <v>20</v>
      </c>
      <c r="C3" s="1432"/>
      <c r="D3" s="1432"/>
      <c r="E3" s="1432"/>
      <c r="F3" s="1430" t="s">
        <v>1</v>
      </c>
      <c r="G3" s="1430" t="s">
        <v>2200</v>
      </c>
      <c r="H3" s="1432"/>
      <c r="I3" s="1433">
        <v>112899</v>
      </c>
      <c r="J3" s="1433">
        <v>0</v>
      </c>
      <c r="K3" s="1433">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0" t="s">
        <v>2203</v>
      </c>
      <c r="B4" s="1431">
        <v>30</v>
      </c>
      <c r="C4" s="1432"/>
      <c r="D4" s="1432"/>
      <c r="E4" s="1432"/>
      <c r="F4" s="1430" t="s">
        <v>1</v>
      </c>
      <c r="G4" s="1430" t="s">
        <v>2200</v>
      </c>
      <c r="H4" s="1432"/>
      <c r="I4" s="1433">
        <v>227808</v>
      </c>
      <c r="J4" s="1433">
        <v>0</v>
      </c>
      <c r="K4" s="1433">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0" t="s">
        <v>2205</v>
      </c>
      <c r="B5" s="1431">
        <v>40</v>
      </c>
      <c r="C5" s="1432"/>
      <c r="D5" s="1432"/>
      <c r="E5" s="1432"/>
      <c r="F5" s="1430" t="s">
        <v>1</v>
      </c>
      <c r="G5" s="1430" t="s">
        <v>2200</v>
      </c>
      <c r="H5" s="1432"/>
      <c r="I5" s="1433">
        <v>187231.25</v>
      </c>
      <c r="J5" s="1433">
        <v>0</v>
      </c>
      <c r="K5" s="1433">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0" t="s">
        <v>2207</v>
      </c>
      <c r="B6" s="1431">
        <v>50</v>
      </c>
      <c r="C6" s="1432"/>
      <c r="D6" s="1432"/>
      <c r="E6" s="1432"/>
      <c r="F6" s="1430" t="s">
        <v>1</v>
      </c>
      <c r="G6" s="1430" t="s">
        <v>2200</v>
      </c>
      <c r="H6" s="1432"/>
      <c r="I6" s="1433">
        <v>281299</v>
      </c>
      <c r="J6" s="1433">
        <v>0</v>
      </c>
      <c r="K6" s="1433">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0" t="s">
        <v>2209</v>
      </c>
      <c r="B7" s="1431">
        <v>60</v>
      </c>
      <c r="C7" s="1432"/>
      <c r="D7" s="1432"/>
      <c r="E7" s="1432"/>
      <c r="F7" s="1430" t="s">
        <v>1</v>
      </c>
      <c r="G7" s="1430" t="s">
        <v>2200</v>
      </c>
      <c r="H7" s="1432"/>
      <c r="I7" s="1433">
        <v>165432</v>
      </c>
      <c r="J7" s="1433">
        <v>0</v>
      </c>
      <c r="K7" s="1433">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0" t="s">
        <v>2211</v>
      </c>
      <c r="B8" s="1431">
        <v>70</v>
      </c>
      <c r="C8" s="1432"/>
      <c r="D8" s="1432"/>
      <c r="E8" s="1432"/>
      <c r="F8" s="1430" t="s">
        <v>1</v>
      </c>
      <c r="G8" s="1430" t="s">
        <v>2200</v>
      </c>
      <c r="H8" s="1432"/>
      <c r="I8" s="1433">
        <v>161351</v>
      </c>
      <c r="J8" s="1433">
        <v>0</v>
      </c>
      <c r="K8" s="1433">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0" t="s">
        <v>2213</v>
      </c>
      <c r="B9" s="1431">
        <v>80</v>
      </c>
      <c r="C9" s="1432"/>
      <c r="D9" s="1432"/>
      <c r="E9" s="1432"/>
      <c r="F9" s="1430" t="s">
        <v>1</v>
      </c>
      <c r="G9" s="1430" t="s">
        <v>2200</v>
      </c>
      <c r="H9" s="1432"/>
      <c r="I9" s="1433">
        <v>204620</v>
      </c>
      <c r="J9" s="1433">
        <v>0</v>
      </c>
      <c r="K9" s="1433">
        <v>204620</v>
      </c>
      <c r="L9" s="150">
        <f t="shared" si="0"/>
        <v>80</v>
      </c>
      <c r="M9" s="151" t="str">
        <f t="shared" si="1"/>
        <v>PROFIT/PERTES AOUT</v>
      </c>
      <c r="N9" s="152">
        <f>+IF(OR($Q9=Parametres!$G$2,$Q9=Parametres!$G$3),I9,C9)</f>
        <v>204620</v>
      </c>
      <c r="O9" s="569">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430" t="s">
        <v>2215</v>
      </c>
      <c r="B10" s="1431">
        <v>90</v>
      </c>
      <c r="C10" s="1432"/>
      <c r="D10" s="1432"/>
      <c r="E10" s="1432"/>
      <c r="F10" s="1430" t="s">
        <v>1</v>
      </c>
      <c r="G10" s="1430" t="s">
        <v>2200</v>
      </c>
      <c r="H10" s="1432"/>
      <c r="I10" s="1433">
        <v>239854</v>
      </c>
      <c r="J10" s="1433">
        <v>0</v>
      </c>
      <c r="K10" s="1433">
        <v>239854</v>
      </c>
      <c r="L10" s="150">
        <f t="shared" si="0"/>
        <v>90</v>
      </c>
      <c r="M10" s="151" t="str">
        <f t="shared" si="1"/>
        <v>PROFIT/PERTES SEPTEMBRE</v>
      </c>
      <c r="N10" s="152">
        <f>+IF(OR($Q10=Parametres!$G$2,$Q10=Parametres!$G$3),I10,C10)</f>
        <v>239854</v>
      </c>
      <c r="O10" s="570">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430" t="s">
        <v>2217</v>
      </c>
      <c r="B11" s="1431">
        <v>100</v>
      </c>
      <c r="C11" s="1432"/>
      <c r="D11" s="1432"/>
      <c r="E11" s="1432"/>
      <c r="F11" s="1430" t="s">
        <v>1</v>
      </c>
      <c r="G11" s="1430" t="s">
        <v>2200</v>
      </c>
      <c r="H11" s="1432"/>
      <c r="I11" s="1433">
        <v>204198</v>
      </c>
      <c r="J11" s="1433">
        <v>0</v>
      </c>
      <c r="K11" s="1433">
        <v>204198</v>
      </c>
      <c r="L11" s="150">
        <f t="shared" si="0"/>
        <v>100</v>
      </c>
      <c r="M11" s="151" t="str">
        <f t="shared" si="1"/>
        <v>PROFIT/PERTES OCTOBRE</v>
      </c>
      <c r="N11" s="152">
        <f>+IF(OR($Q11=Parametres!$G$2,$Q11=Parametres!$G$3),I11,C11)</f>
        <v>204198</v>
      </c>
      <c r="O11" s="152">
        <f>+IF(OR($Q11=Parametres!$G$2,$Q11=Parametres!$G$3),J11,D11)</f>
        <v>0</v>
      </c>
      <c r="P11" s="152">
        <f>+IF(OR($Q11=Parametres!$G$2,$Q11=Parametres!$G$3),K11,E11)</f>
        <v>204198</v>
      </c>
      <c r="Q11" s="151" t="str">
        <f t="shared" si="2"/>
        <v>1-Mémo</v>
      </c>
      <c r="R11" s="150" t="str">
        <f t="shared" si="2"/>
        <v>1</v>
      </c>
      <c r="S11" s="151">
        <f t="shared" si="2"/>
        <v>0</v>
      </c>
      <c r="T11" s="153">
        <f>+VLOOKUP($L11,Data_Validation!$A:$D,1,0)</f>
        <v>100</v>
      </c>
      <c r="U11" s="153">
        <f>+VLOOKUP($L11,Data_Validation!$A:$D,3,0)</f>
        <v>0</v>
      </c>
      <c r="V11" s="153">
        <f>+VLOOKUP($L11,Data_Validation!$A:$D,4,0)</f>
        <v>0</v>
      </c>
      <c r="W11" s="153">
        <f>+VLOOKUP($L11,Data_Validation!$A:$E,5,0)</f>
        <v>0</v>
      </c>
      <c r="X11" s="153">
        <f>+VLOOKUP($L11,Data_Validation!$A:$F,6,0)</f>
        <v>0</v>
      </c>
    </row>
    <row r="12" spans="1:24" ht="15" customHeight="1">
      <c r="A12" s="1430" t="s">
        <v>2219</v>
      </c>
      <c r="B12" s="1431">
        <v>110</v>
      </c>
      <c r="C12" s="1432"/>
      <c r="D12" s="1432"/>
      <c r="E12" s="1432"/>
      <c r="F12" s="1430" t="s">
        <v>1</v>
      </c>
      <c r="G12" s="1430" t="s">
        <v>2200</v>
      </c>
      <c r="H12" s="1432"/>
      <c r="I12" s="1433">
        <v>0</v>
      </c>
      <c r="J12" s="1433">
        <v>339733</v>
      </c>
      <c r="K12" s="1433">
        <v>339733</v>
      </c>
      <c r="L12" s="150">
        <f t="shared" si="0"/>
        <v>110</v>
      </c>
      <c r="M12" s="151" t="str">
        <f t="shared" si="1"/>
        <v>PROFIT/PERTES NOVEMBRE</v>
      </c>
      <c r="N12" s="152">
        <f>+IF(OR($Q12=Parametres!$G$2,$Q12=Parametres!$G$3),I12,C12)</f>
        <v>0</v>
      </c>
      <c r="O12" s="152">
        <f>+IF(OR($Q12=Parametres!$G$2,$Q12=Parametres!$G$3),J12,D12)</f>
        <v>339733</v>
      </c>
      <c r="P12" s="152">
        <f>+IF(OR($Q12=Parametres!$G$2,$Q12=Parametres!$G$3),K12,E12)</f>
        <v>339733</v>
      </c>
      <c r="Q12" s="151" t="str">
        <f t="shared" si="2"/>
        <v>1-Mémo</v>
      </c>
      <c r="R12" s="150" t="str">
        <f t="shared" si="2"/>
        <v>1</v>
      </c>
      <c r="S12" s="151">
        <f t="shared" si="2"/>
        <v>0</v>
      </c>
      <c r="T12" s="153">
        <f>+VLOOKUP($L12,Data_Validation!$A:$D,1,0)</f>
        <v>110</v>
      </c>
      <c r="U12" s="153">
        <f>+VLOOKUP($L12,Data_Validation!$A:$D,3,0)</f>
        <v>0</v>
      </c>
      <c r="V12" s="153">
        <f>+VLOOKUP($L12,Data_Validation!$A:$D,4,0)</f>
        <v>0</v>
      </c>
      <c r="W12" s="153">
        <f>+VLOOKUP($L12,Data_Validation!$A:$E,5,0)</f>
        <v>0</v>
      </c>
      <c r="X12" s="153">
        <f>+VLOOKUP($L12,Data_Validation!$A:$F,6,0)</f>
        <v>0</v>
      </c>
    </row>
    <row r="13" spans="1:24" ht="15" customHeight="1">
      <c r="A13" s="1430" t="s">
        <v>2221</v>
      </c>
      <c r="B13" s="1431">
        <v>229</v>
      </c>
      <c r="C13" s="1432"/>
      <c r="D13" s="1432"/>
      <c r="E13" s="1432"/>
      <c r="F13" s="1430" t="s">
        <v>1</v>
      </c>
      <c r="G13" s="1430" t="s">
        <v>2223</v>
      </c>
      <c r="H13" s="1432"/>
      <c r="I13" s="1433">
        <v>6.03</v>
      </c>
      <c r="J13" s="1433">
        <v>0.75</v>
      </c>
      <c r="K13" s="1433">
        <v>6.78</v>
      </c>
      <c r="L13" s="150">
        <f t="shared" si="0"/>
        <v>229</v>
      </c>
      <c r="M13" s="151" t="str">
        <f t="shared" si="1"/>
        <v>CUMUL. VIS. CARR. VW</v>
      </c>
      <c r="N13" s="152">
        <f>+IF(OR($Q13=Parametres!$G$2,$Q13=Parametres!$G$3),I13,C13)</f>
        <v>6.03</v>
      </c>
      <c r="O13" s="569">
        <f>+IF(OR($Q13=Parametres!$G$2,$Q13=Parametres!$G$3),J13,D13)</f>
        <v>0.75</v>
      </c>
      <c r="P13" s="152">
        <f>+IF(OR($Q13=Parametres!$G$2,$Q13=Parametres!$G$3),K13,E13)</f>
        <v>6.78</v>
      </c>
      <c r="Q13" s="151" t="str">
        <f t="shared" si="2"/>
        <v>1-Mémo</v>
      </c>
      <c r="R13" s="150" t="str">
        <f t="shared" si="2"/>
        <v>23</v>
      </c>
      <c r="S13" s="151">
        <f t="shared" si="2"/>
        <v>0</v>
      </c>
      <c r="T13" s="153">
        <f>+VLOOKUP($L13,Data_Validation!$A:$D,1,0)</f>
        <v>229</v>
      </c>
      <c r="U13" s="153">
        <f>+VLOOKUP($L13,Data_Validation!$A:$D,3,0)</f>
        <v>0</v>
      </c>
      <c r="V13" s="153">
        <f>+VLOOKUP($L13,Data_Validation!$A:$D,4,0)</f>
        <v>0</v>
      </c>
      <c r="W13" s="153">
        <f>+VLOOKUP($L13,Data_Validation!$A:$E,5,0)</f>
        <v>0</v>
      </c>
      <c r="X13" s="153">
        <f>+VLOOKUP($L13,Data_Validation!$A:$F,6,0)</f>
        <v>0</v>
      </c>
    </row>
    <row r="14" spans="1:24" ht="15" customHeight="1">
      <c r="A14" s="1430" t="s">
        <v>2224</v>
      </c>
      <c r="B14" s="1431">
        <v>230</v>
      </c>
      <c r="C14" s="1432"/>
      <c r="D14" s="1432"/>
      <c r="E14" s="1432"/>
      <c r="F14" s="1430" t="s">
        <v>1</v>
      </c>
      <c r="G14" s="1430" t="s">
        <v>2223</v>
      </c>
      <c r="H14" s="1432"/>
      <c r="I14" s="1433">
        <v>96.21</v>
      </c>
      <c r="J14" s="1433">
        <v>17.079999999999998</v>
      </c>
      <c r="K14" s="1433">
        <v>113.29</v>
      </c>
      <c r="L14" s="150">
        <f t="shared" si="0"/>
        <v>230</v>
      </c>
      <c r="M14" s="151" t="str">
        <f t="shared" si="1"/>
        <v>CUMUL. VIS. VEH. SERV. VW</v>
      </c>
      <c r="N14" s="152">
        <f>+IF(OR($Q14=Parametres!$G$2,$Q14=Parametres!$G$3),I14,C14)</f>
        <v>96.21</v>
      </c>
      <c r="O14" s="569">
        <f>+IF(OR($Q14=Parametres!$G$2,$Q14=Parametres!$G$3),J14,D14)</f>
        <v>17.079999999999998</v>
      </c>
      <c r="P14" s="152">
        <f>+IF(OR($Q14=Parametres!$G$2,$Q14=Parametres!$G$3),K14,E14)</f>
        <v>113.29</v>
      </c>
      <c r="Q14" s="151" t="str">
        <f t="shared" si="2"/>
        <v>1-Mémo</v>
      </c>
      <c r="R14" s="150" t="str">
        <f t="shared" si="2"/>
        <v>23</v>
      </c>
      <c r="S14" s="151">
        <f t="shared" si="2"/>
        <v>0</v>
      </c>
      <c r="T14" s="153">
        <f>+VLOOKUP($L14,Data_Validation!$A:$D,1,0)</f>
        <v>230</v>
      </c>
      <c r="U14" s="153">
        <f>+VLOOKUP($L14,Data_Validation!$A:$D,3,0)</f>
        <v>0</v>
      </c>
      <c r="V14" s="153">
        <f>+VLOOKUP($L14,Data_Validation!$A:$D,4,0)</f>
        <v>0</v>
      </c>
      <c r="W14" s="153" t="str">
        <f>+VLOOKUP($L14,Data_Validation!$A:$E,5,0)</f>
        <v>$</v>
      </c>
      <c r="X14" s="153">
        <f>+VLOOKUP($L14,Data_Validation!$A:$F,6,0)</f>
        <v>0</v>
      </c>
    </row>
    <row r="15" spans="1:24" ht="15" customHeight="1">
      <c r="A15" s="1430" t="s">
        <v>2226</v>
      </c>
      <c r="B15" s="1431">
        <v>234</v>
      </c>
      <c r="C15" s="1432"/>
      <c r="D15" s="1432"/>
      <c r="E15" s="1432"/>
      <c r="F15" s="1430" t="s">
        <v>1</v>
      </c>
      <c r="G15" s="1430" t="s">
        <v>2223</v>
      </c>
      <c r="H15" s="1432"/>
      <c r="I15" s="1433">
        <v>155.76</v>
      </c>
      <c r="J15" s="1433">
        <v>21.41</v>
      </c>
      <c r="K15" s="1433">
        <v>177.17</v>
      </c>
      <c r="L15" s="150">
        <f t="shared" si="0"/>
        <v>234</v>
      </c>
      <c r="M15" s="151" t="str">
        <f t="shared" si="1"/>
        <v>TOTAL HRES PROD. SERVICE</v>
      </c>
      <c r="N15" s="152">
        <f>+IF(OR($Q15=Parametres!$G$2,$Q15=Parametres!$G$3),I15,C15)</f>
        <v>155.76</v>
      </c>
      <c r="O15" s="569">
        <f>+IF(OR($Q15=Parametres!$G$2,$Q15=Parametres!$G$3),J15,D15)</f>
        <v>21.41</v>
      </c>
      <c r="P15" s="152">
        <f>+IF(OR($Q15=Parametres!$G$2,$Q15=Parametres!$G$3),K15,E15)</f>
        <v>177.17</v>
      </c>
      <c r="Q15" s="151" t="str">
        <f t="shared" si="2"/>
        <v>1-Mémo</v>
      </c>
      <c r="R15" s="150" t="str">
        <f t="shared" si="2"/>
        <v>23</v>
      </c>
      <c r="S15" s="151">
        <f t="shared" si="2"/>
        <v>0</v>
      </c>
      <c r="T15" s="153">
        <f>+VLOOKUP($L15,Data_Validation!$A:$D,1,0)</f>
        <v>234</v>
      </c>
      <c r="U15" s="153">
        <f>+VLOOKUP($L15,Data_Validation!$A:$D,3,0)</f>
        <v>0</v>
      </c>
      <c r="V15" s="153">
        <f>+VLOOKUP($L15,Data_Validation!$A:$D,4,0)</f>
        <v>0</v>
      </c>
      <c r="W15" s="153">
        <f>+VLOOKUP($L15,Data_Validation!$A:$E,5,0)</f>
        <v>0</v>
      </c>
      <c r="X15" s="153">
        <f>+VLOOKUP($L15,Data_Validation!$A:$F,6,0)</f>
        <v>0</v>
      </c>
    </row>
    <row r="16" spans="1:24" ht="15" customHeight="1">
      <c r="A16" s="1430" t="s">
        <v>2228</v>
      </c>
      <c r="B16" s="1431">
        <v>236</v>
      </c>
      <c r="C16" s="1432"/>
      <c r="D16" s="1432"/>
      <c r="E16" s="1432"/>
      <c r="F16" s="1430" t="s">
        <v>1</v>
      </c>
      <c r="G16" s="1430" t="s">
        <v>2223</v>
      </c>
      <c r="H16" s="1432"/>
      <c r="I16" s="1433">
        <v>157.51</v>
      </c>
      <c r="J16" s="1433">
        <v>21.9</v>
      </c>
      <c r="K16" s="1433">
        <v>179.41</v>
      </c>
      <c r="L16" s="150">
        <f t="shared" si="0"/>
        <v>236</v>
      </c>
      <c r="M16" s="151" t="str">
        <f t="shared" si="1"/>
        <v>HEURES VENDU VW - SERVICE</v>
      </c>
      <c r="N16" s="152">
        <f>+IF(OR($Q16=Parametres!$G$2,$Q16=Parametres!$G$3),I16,C16)</f>
        <v>157.51</v>
      </c>
      <c r="O16" s="569">
        <f>+IF(OR($Q16=Parametres!$G$2,$Q16=Parametres!$G$3),J16,D16)</f>
        <v>21.9</v>
      </c>
      <c r="P16" s="152">
        <f>+IF(OR($Q16=Parametres!$G$2,$Q16=Parametres!$G$3),K16,E16)</f>
        <v>179.41</v>
      </c>
      <c r="Q16" s="151" t="str">
        <f t="shared" si="2"/>
        <v>1-Mémo</v>
      </c>
      <c r="R16" s="150" t="str">
        <f t="shared" si="2"/>
        <v>23</v>
      </c>
      <c r="S16" s="151">
        <f t="shared" si="2"/>
        <v>0</v>
      </c>
      <c r="T16" s="153">
        <f>+VLOOKUP($L16,Data_Validation!$A:$D,1,0)</f>
        <v>236</v>
      </c>
      <c r="U16" s="153">
        <f>+VLOOKUP($L16,Data_Validation!$A:$D,3,0)</f>
        <v>0</v>
      </c>
      <c r="V16" s="153">
        <f>+VLOOKUP($L16,Data_Validation!$A:$D,4,0)</f>
        <v>0</v>
      </c>
      <c r="W16" s="153">
        <f>+VLOOKUP($L16,Data_Validation!$A:$E,5,0)</f>
        <v>0</v>
      </c>
      <c r="X16" s="153">
        <f>+VLOOKUP($L16,Data_Validation!$A:$F,6,0)</f>
        <v>0</v>
      </c>
    </row>
    <row r="17" spans="1:24" ht="15" customHeight="1">
      <c r="A17" s="1430" t="s">
        <v>2230</v>
      </c>
      <c r="B17" s="1431">
        <v>238</v>
      </c>
      <c r="C17" s="1432"/>
      <c r="D17" s="1432"/>
      <c r="E17" s="1432"/>
      <c r="F17" s="1430" t="s">
        <v>1</v>
      </c>
      <c r="G17" s="1430" t="s">
        <v>2223</v>
      </c>
      <c r="H17" s="1432"/>
      <c r="I17" s="1433">
        <v>165.04</v>
      </c>
      <c r="J17" s="1433">
        <v>22.16</v>
      </c>
      <c r="K17" s="1433">
        <v>187.2</v>
      </c>
      <c r="L17" s="150">
        <f t="shared" si="0"/>
        <v>238</v>
      </c>
      <c r="M17" s="151" t="str">
        <f t="shared" si="1"/>
        <v>TOT. HEURES DISP. SERVICE</v>
      </c>
      <c r="N17" s="152">
        <f>+IF(OR($Q17=Parametres!$G$2,$Q17=Parametres!$G$3),I17,C17)</f>
        <v>165.04</v>
      </c>
      <c r="O17" s="569">
        <f>+IF(OR($Q17=Parametres!$G$2,$Q17=Parametres!$G$3),J17,D17)</f>
        <v>22.16</v>
      </c>
      <c r="P17" s="152">
        <f>+IF(OR($Q17=Parametres!$G$2,$Q17=Parametres!$G$3),K17,E17)</f>
        <v>187.2</v>
      </c>
      <c r="Q17" s="151" t="str">
        <f t="shared" si="2"/>
        <v>1-Mémo</v>
      </c>
      <c r="R17" s="150" t="str">
        <f t="shared" si="2"/>
        <v>23</v>
      </c>
      <c r="S17" s="151">
        <f t="shared" si="2"/>
        <v>0</v>
      </c>
      <c r="T17" s="153">
        <f>+VLOOKUP($L17,Data_Validation!$A:$D,1,0)</f>
        <v>238</v>
      </c>
      <c r="U17" s="153">
        <f>+VLOOKUP($L17,Data_Validation!$A:$D,3,0)</f>
        <v>0</v>
      </c>
      <c r="V17" s="153">
        <f>+VLOOKUP($L17,Data_Validation!$A:$D,4,0)</f>
        <v>0</v>
      </c>
      <c r="W17" s="153">
        <f>+VLOOKUP($L17,Data_Validation!$A:$E,5,0)</f>
        <v>0</v>
      </c>
      <c r="X17" s="153">
        <f>+VLOOKUP($L17,Data_Validation!$A:$F,6,0)</f>
        <v>0</v>
      </c>
    </row>
    <row r="18" spans="1:24" ht="15" customHeight="1">
      <c r="A18" s="1430" t="s">
        <v>2232</v>
      </c>
      <c r="B18" s="1431">
        <v>243</v>
      </c>
      <c r="C18" s="1432"/>
      <c r="D18" s="1432"/>
      <c r="E18" s="1432"/>
      <c r="F18" s="1430" t="s">
        <v>1</v>
      </c>
      <c r="G18" s="1430" t="s">
        <v>2234</v>
      </c>
      <c r="H18" s="1432"/>
      <c r="I18" s="1433">
        <v>134.94999999999999</v>
      </c>
      <c r="J18" s="1433">
        <v>0</v>
      </c>
      <c r="K18" s="1433">
        <v>134.94999999999999</v>
      </c>
      <c r="L18" s="150">
        <f t="shared" si="0"/>
        <v>243</v>
      </c>
      <c r="M18" s="151" t="str">
        <f t="shared" si="1"/>
        <v>TAUX M/O CLIENT VW</v>
      </c>
      <c r="N18" s="152">
        <f>+IF(OR($Q18=Parametres!$G$2,$Q18=Parametres!$G$3),I18,C18)</f>
        <v>134.94999999999999</v>
      </c>
      <c r="O18" s="152">
        <f>+IF(OR($Q18=Parametres!$G$2,$Q18=Parametres!$G$3),J18,D18)</f>
        <v>0</v>
      </c>
      <c r="P18" s="152">
        <f>+IF(OR($Q18=Parametres!$G$2,$Q18=Parametres!$G$3),K18,E18)</f>
        <v>134.94999999999999</v>
      </c>
      <c r="Q18" s="151" t="str">
        <f t="shared" ref="Q18:S33" si="3">+F18</f>
        <v>1-Mémo</v>
      </c>
      <c r="R18" s="150" t="str">
        <f t="shared" si="3"/>
        <v>24</v>
      </c>
      <c r="S18" s="151">
        <f t="shared" si="3"/>
        <v>0</v>
      </c>
      <c r="T18" s="153">
        <f>+VLOOKUP($L18,Data_Validation!$A:$D,1,0)</f>
        <v>243</v>
      </c>
      <c r="U18" s="153">
        <f>+VLOOKUP($L18,Data_Validation!$A:$D,3,0)</f>
        <v>0</v>
      </c>
      <c r="V18" s="153">
        <f>+VLOOKUP($L18,Data_Validation!$A:$D,4,0)</f>
        <v>0</v>
      </c>
      <c r="W18" s="153">
        <f>+VLOOKUP($L18,Data_Validation!$A:$E,5,0)</f>
        <v>0</v>
      </c>
      <c r="X18" s="153">
        <f>+VLOOKUP($L18,Data_Validation!$A:$F,6,0)</f>
        <v>0</v>
      </c>
    </row>
    <row r="19" spans="1:24" ht="15" customHeight="1">
      <c r="A19" s="1430" t="s">
        <v>2235</v>
      </c>
      <c r="B19" s="1431">
        <v>244</v>
      </c>
      <c r="C19" s="1432"/>
      <c r="D19" s="1432"/>
      <c r="E19" s="1432"/>
      <c r="F19" s="1430" t="s">
        <v>1</v>
      </c>
      <c r="G19" s="1430" t="s">
        <v>2234</v>
      </c>
      <c r="H19" s="1432"/>
      <c r="I19" s="1433">
        <v>119.44</v>
      </c>
      <c r="J19" s="1433">
        <v>0</v>
      </c>
      <c r="K19" s="1433">
        <v>119.44</v>
      </c>
      <c r="L19" s="150">
        <f t="shared" si="0"/>
        <v>244</v>
      </c>
      <c r="M19" s="151" t="str">
        <f t="shared" si="1"/>
        <v>TAUX M/O GARANTIE VW</v>
      </c>
      <c r="N19" s="152">
        <f>+IF(OR($Q19=Parametres!$G$2,$Q19=Parametres!$G$3),I19,C19)</f>
        <v>119.44</v>
      </c>
      <c r="O19" s="569">
        <f>+IF(OR($Q19=Parametres!$G$2,$Q19=Parametres!$G$3),J19,D19)</f>
        <v>0</v>
      </c>
      <c r="P19" s="152">
        <f>+IF(OR($Q19=Parametres!$G$2,$Q19=Parametres!$G$3),K19,E19)</f>
        <v>119.44</v>
      </c>
      <c r="Q19" s="151" t="str">
        <f t="shared" si="3"/>
        <v>1-Mémo</v>
      </c>
      <c r="R19" s="150" t="str">
        <f t="shared" si="3"/>
        <v>24</v>
      </c>
      <c r="S19" s="151">
        <f t="shared" si="3"/>
        <v>0</v>
      </c>
      <c r="T19" s="153">
        <f>+VLOOKUP($L19,Data_Validation!$A:$D,1,0)</f>
        <v>244</v>
      </c>
      <c r="U19" s="153">
        <f>+VLOOKUP($L19,Data_Validation!$A:$D,3,0)</f>
        <v>0</v>
      </c>
      <c r="V19" s="153">
        <f>+VLOOKUP($L19,Data_Validation!$A:$D,4,0)</f>
        <v>0</v>
      </c>
      <c r="W19" s="153">
        <f>+VLOOKUP($L19,Data_Validation!$A:$E,5,0)</f>
        <v>0</v>
      </c>
      <c r="X19" s="153">
        <f>+VLOOKUP($L19,Data_Validation!$A:$F,6,0)</f>
        <v>0</v>
      </c>
    </row>
    <row r="20" spans="1:24" ht="15" customHeight="1">
      <c r="A20" s="1430" t="s">
        <v>2237</v>
      </c>
      <c r="B20" s="1431">
        <v>245</v>
      </c>
      <c r="C20" s="1432"/>
      <c r="D20" s="1432"/>
      <c r="E20" s="1432"/>
      <c r="F20" s="1430" t="s">
        <v>1</v>
      </c>
      <c r="G20" s="1430" t="s">
        <v>2234</v>
      </c>
      <c r="H20" s="1432"/>
      <c r="I20" s="1433">
        <v>134.94999999999999</v>
      </c>
      <c r="J20" s="1433">
        <v>0</v>
      </c>
      <c r="K20" s="1433">
        <v>134.94999999999999</v>
      </c>
      <c r="L20" s="150">
        <f t="shared" si="0"/>
        <v>245</v>
      </c>
      <c r="M20" s="151" t="str">
        <f t="shared" si="1"/>
        <v>TAUX M/O INTERNE VW</v>
      </c>
      <c r="N20" s="152">
        <f>+IF(OR($Q20=Parametres!$G$2,$Q20=Parametres!$G$3),I20,C20)</f>
        <v>134.94999999999999</v>
      </c>
      <c r="O20" s="569">
        <f>+IF(OR($Q20=Parametres!$G$2,$Q20=Parametres!$G$3),J20,D20)</f>
        <v>0</v>
      </c>
      <c r="P20" s="152">
        <f>+IF(OR($Q20=Parametres!$G$2,$Q20=Parametres!$G$3),K20,E20)</f>
        <v>134.94999999999999</v>
      </c>
      <c r="Q20" s="151" t="str">
        <f t="shared" si="3"/>
        <v>1-Mémo</v>
      </c>
      <c r="R20" s="150" t="str">
        <f t="shared" si="3"/>
        <v>24</v>
      </c>
      <c r="S20" s="151">
        <f t="shared" si="3"/>
        <v>0</v>
      </c>
      <c r="T20" s="153">
        <f>+VLOOKUP($L20,Data_Validation!$A:$D,1,0)</f>
        <v>245</v>
      </c>
      <c r="U20" s="153">
        <f>+VLOOKUP($L20,Data_Validation!$A:$D,3,0)</f>
        <v>0</v>
      </c>
      <c r="V20" s="153">
        <f>+VLOOKUP($L20,Data_Validation!$A:$D,4,0)</f>
        <v>0</v>
      </c>
      <c r="W20" s="153">
        <f>+VLOOKUP($L20,Data_Validation!$A:$E,5,0)</f>
        <v>0</v>
      </c>
      <c r="X20" s="153">
        <f>+VLOOKUP($L20,Data_Validation!$A:$F,6,0)</f>
        <v>0</v>
      </c>
    </row>
    <row r="21" spans="1:24" ht="15" customHeight="1">
      <c r="A21" s="1430" t="s">
        <v>2239</v>
      </c>
      <c r="B21" s="1431">
        <v>246</v>
      </c>
      <c r="C21" s="1432"/>
      <c r="D21" s="1432"/>
      <c r="E21" s="1432"/>
      <c r="F21" s="1430" t="s">
        <v>1</v>
      </c>
      <c r="G21" s="1430" t="s">
        <v>2234</v>
      </c>
      <c r="H21" s="1432"/>
      <c r="I21" s="1433">
        <v>60</v>
      </c>
      <c r="J21" s="1433">
        <v>0</v>
      </c>
      <c r="K21" s="1433">
        <v>60</v>
      </c>
      <c r="L21" s="150">
        <f t="shared" si="0"/>
        <v>246</v>
      </c>
      <c r="M21" s="151" t="str">
        <f t="shared" si="1"/>
        <v>TAUX M/O CARR. VW</v>
      </c>
      <c r="N21" s="152">
        <f>+IF(OR($Q21=Parametres!$G$2,$Q21=Parametres!$G$3),I21,C21)</f>
        <v>60</v>
      </c>
      <c r="O21" s="152">
        <f>+IF(OR($Q21=Parametres!$G$2,$Q21=Parametres!$G$3),J21,D21)</f>
        <v>0</v>
      </c>
      <c r="P21" s="152">
        <f>+IF(OR($Q21=Parametres!$G$2,$Q21=Parametres!$G$3),K21,E21)</f>
        <v>60</v>
      </c>
      <c r="Q21" s="151" t="str">
        <f t="shared" si="3"/>
        <v>1-Mémo</v>
      </c>
      <c r="R21" s="150" t="str">
        <f t="shared" si="3"/>
        <v>24</v>
      </c>
      <c r="S21" s="151">
        <f t="shared" si="3"/>
        <v>0</v>
      </c>
      <c r="T21" s="153">
        <f>+VLOOKUP($L21,Data_Validation!$A:$D,1,0)</f>
        <v>246</v>
      </c>
      <c r="U21" s="153">
        <f>+VLOOKUP($L21,Data_Validation!$A:$D,3,0)</f>
        <v>0</v>
      </c>
      <c r="V21" s="153">
        <f>+VLOOKUP($L21,Data_Validation!$A:$D,4,0)</f>
        <v>0</v>
      </c>
      <c r="W21" s="153">
        <f>+VLOOKUP($L21,Data_Validation!$A:$E,5,0)</f>
        <v>0</v>
      </c>
      <c r="X21" s="153">
        <f>+VLOOKUP($L21,Data_Validation!$A:$F,6,0)</f>
        <v>0</v>
      </c>
    </row>
    <row r="22" spans="1:24" ht="15" customHeight="1">
      <c r="A22" s="1430" t="s">
        <v>2241</v>
      </c>
      <c r="B22" s="1431">
        <v>255</v>
      </c>
      <c r="C22" s="1432"/>
      <c r="D22" s="1432"/>
      <c r="E22" s="1432"/>
      <c r="F22" s="1430" t="s">
        <v>1</v>
      </c>
      <c r="G22" s="1430" t="s">
        <v>2242</v>
      </c>
      <c r="H22" s="1432"/>
      <c r="I22" s="1433">
        <v>0.08</v>
      </c>
      <c r="J22" s="1433">
        <v>0</v>
      </c>
      <c r="K22" s="1433">
        <v>0.08</v>
      </c>
      <c r="L22" s="150">
        <f t="shared" si="0"/>
        <v>255</v>
      </c>
      <c r="M22" s="151" t="str">
        <f t="shared" si="1"/>
        <v>BAIES TRAVAIL PRODUCTIVES - SERVICE VW</v>
      </c>
      <c r="N22" s="152">
        <f>+IF(OR($Q22=Parametres!$G$2,$Q22=Parametres!$G$3),I22,C22)</f>
        <v>0.08</v>
      </c>
      <c r="O22" s="569">
        <f>+IF(OR($Q22=Parametres!$G$2,$Q22=Parametres!$G$3),J22,D22)</f>
        <v>0</v>
      </c>
      <c r="P22" s="152">
        <f>+IF(OR($Q22=Parametres!$G$2,$Q22=Parametres!$G$3),K22,E22)</f>
        <v>0.08</v>
      </c>
      <c r="Q22" s="151" t="str">
        <f t="shared" si="3"/>
        <v>1-Mémo</v>
      </c>
      <c r="R22" s="150" t="str">
        <f t="shared" si="3"/>
        <v>255</v>
      </c>
      <c r="S22" s="151">
        <f t="shared" si="3"/>
        <v>0</v>
      </c>
      <c r="T22" s="153">
        <f>+VLOOKUP($L22,Data_Validation!$A:$D,1,0)</f>
        <v>255</v>
      </c>
      <c r="U22" s="153">
        <f>+VLOOKUP($L22,Data_Validation!$A:$D,3,0)</f>
        <v>0</v>
      </c>
      <c r="V22" s="153">
        <f>+VLOOKUP($L22,Data_Validation!$A:$D,4,0)</f>
        <v>0</v>
      </c>
      <c r="W22" s="153">
        <f>+VLOOKUP($L22,Data_Validation!$A:$E,5,0)</f>
        <v>0</v>
      </c>
      <c r="X22" s="153">
        <f>+VLOOKUP($L22,Data_Validation!$A:$F,6,0)</f>
        <v>0</v>
      </c>
    </row>
    <row r="23" spans="1:24" ht="15" customHeight="1">
      <c r="A23" s="1430" t="s">
        <v>2243</v>
      </c>
      <c r="B23" s="1431">
        <v>257</v>
      </c>
      <c r="C23" s="1432"/>
      <c r="D23" s="1432"/>
      <c r="E23" s="1432"/>
      <c r="F23" s="1430" t="s">
        <v>1</v>
      </c>
      <c r="G23" s="1430" t="s">
        <v>2244</v>
      </c>
      <c r="H23" s="1432"/>
      <c r="I23" s="1433">
        <v>6371.43</v>
      </c>
      <c r="J23" s="1433">
        <v>1412.93</v>
      </c>
      <c r="K23" s="1433">
        <v>7784.36</v>
      </c>
      <c r="L23" s="150">
        <f t="shared" si="0"/>
        <v>257</v>
      </c>
      <c r="M23" s="151" t="str">
        <f t="shared" si="1"/>
        <v>HEURES VENDUES - SERVICE - CLIENT VW</v>
      </c>
      <c r="N23" s="152">
        <f>+IF(OR($Q23=Parametres!$G$2,$Q23=Parametres!$G$3),I23,C23)</f>
        <v>6371.43</v>
      </c>
      <c r="O23" s="569">
        <f>+IF(OR($Q23=Parametres!$G$2,$Q23=Parametres!$G$3),J23,D23)</f>
        <v>1412.93</v>
      </c>
      <c r="P23" s="152">
        <f>+IF(OR($Q23=Parametres!$G$2,$Q23=Parametres!$G$3),K23,E23)</f>
        <v>7784.36</v>
      </c>
      <c r="Q23" s="151" t="str">
        <f t="shared" si="3"/>
        <v>1-Mémo</v>
      </c>
      <c r="R23" s="150" t="str">
        <f t="shared" si="3"/>
        <v>257</v>
      </c>
      <c r="S23" s="151">
        <f t="shared" si="3"/>
        <v>0</v>
      </c>
      <c r="T23" s="153">
        <f>+VLOOKUP($L23,Data_Validation!$A:$D,1,0)</f>
        <v>257</v>
      </c>
      <c r="U23" s="153">
        <f>+VLOOKUP($L23,Data_Validation!$A:$D,3,0)</f>
        <v>0</v>
      </c>
      <c r="V23" s="153">
        <f>+VLOOKUP($L23,Data_Validation!$A:$D,4,0)</f>
        <v>0</v>
      </c>
      <c r="W23" s="153">
        <f>+VLOOKUP($L23,Data_Validation!$A:$E,5,0)</f>
        <v>0</v>
      </c>
      <c r="X23" s="153">
        <f>+VLOOKUP($L23,Data_Validation!$A:$F,6,0)</f>
        <v>0</v>
      </c>
    </row>
    <row r="24" spans="1:24" ht="15" customHeight="1">
      <c r="A24" s="1430" t="s">
        <v>2245</v>
      </c>
      <c r="B24" s="1431">
        <v>258</v>
      </c>
      <c r="C24" s="1432"/>
      <c r="D24" s="1432"/>
      <c r="E24" s="1432"/>
      <c r="F24" s="1430" t="s">
        <v>1</v>
      </c>
      <c r="G24" s="1430" t="s">
        <v>2244</v>
      </c>
      <c r="H24" s="1432"/>
      <c r="I24" s="1433">
        <v>4459.3</v>
      </c>
      <c r="J24" s="1433">
        <v>262</v>
      </c>
      <c r="K24" s="1433">
        <v>4721.3</v>
      </c>
      <c r="L24" s="150">
        <f t="shared" si="0"/>
        <v>258</v>
      </c>
      <c r="M24" s="151" t="str">
        <f t="shared" si="1"/>
        <v>HEURES VENDUES - SERVICE - GARANTIE VW</v>
      </c>
      <c r="N24" s="152">
        <f>+IF(OR($Q24=Parametres!$G$2,$Q24=Parametres!$G$3),I24,C24)</f>
        <v>4459.3</v>
      </c>
      <c r="O24" s="569">
        <f>+IF(OR($Q24=Parametres!$G$2,$Q24=Parametres!$G$3),J24,D24)</f>
        <v>262</v>
      </c>
      <c r="P24" s="152">
        <f>+IF(OR($Q24=Parametres!$G$2,$Q24=Parametres!$G$3),K24,E24)</f>
        <v>4721.3</v>
      </c>
      <c r="Q24" s="151" t="str">
        <f t="shared" si="3"/>
        <v>1-Mémo</v>
      </c>
      <c r="R24" s="150" t="str">
        <f t="shared" si="3"/>
        <v>257</v>
      </c>
      <c r="S24" s="151">
        <f t="shared" si="3"/>
        <v>0</v>
      </c>
      <c r="T24" s="153">
        <f>+VLOOKUP($L24,Data_Validation!$A:$D,1,0)</f>
        <v>258</v>
      </c>
      <c r="U24" s="153">
        <f>+VLOOKUP($L24,Data_Validation!$A:$D,3,0)</f>
        <v>0</v>
      </c>
      <c r="V24" s="153">
        <f>+VLOOKUP($L24,Data_Validation!$A:$D,4,0)</f>
        <v>0</v>
      </c>
      <c r="W24" s="153">
        <f>+VLOOKUP($L24,Data_Validation!$A:$E,5,0)</f>
        <v>0</v>
      </c>
      <c r="X24" s="153">
        <f>+VLOOKUP($L24,Data_Validation!$A:$F,6,0)</f>
        <v>0</v>
      </c>
    </row>
    <row r="25" spans="1:24" ht="15" customHeight="1">
      <c r="A25" s="1430" t="s">
        <v>2247</v>
      </c>
      <c r="B25" s="1431">
        <v>259</v>
      </c>
      <c r="C25" s="1432"/>
      <c r="D25" s="1432"/>
      <c r="E25" s="1432"/>
      <c r="F25" s="1430" t="s">
        <v>1</v>
      </c>
      <c r="G25" s="1430" t="s">
        <v>2244</v>
      </c>
      <c r="H25" s="1432"/>
      <c r="I25" s="1433">
        <v>4919.1099999999997</v>
      </c>
      <c r="J25" s="1433">
        <v>514.82000000000005</v>
      </c>
      <c r="K25" s="1433">
        <v>5433.93</v>
      </c>
      <c r="L25" s="150">
        <f t="shared" si="0"/>
        <v>259</v>
      </c>
      <c r="M25" s="151" t="str">
        <f t="shared" si="1"/>
        <v>HEURES VENDUES - SERVICE - INTERNE VW</v>
      </c>
      <c r="N25" s="152">
        <f>+IF(OR($Q25=Parametres!$G$2,$Q25=Parametres!$G$3),I25,C25)</f>
        <v>4919.1099999999997</v>
      </c>
      <c r="O25" s="569">
        <f>+IF(OR($Q25=Parametres!$G$2,$Q25=Parametres!$G$3),J25,D25)</f>
        <v>514.82000000000005</v>
      </c>
      <c r="P25" s="152">
        <f>+IF(OR($Q25=Parametres!$G$2,$Q25=Parametres!$G$3),K25,E25)</f>
        <v>5433.93</v>
      </c>
      <c r="Q25" s="151" t="str">
        <f t="shared" si="3"/>
        <v>1-Mémo</v>
      </c>
      <c r="R25" s="150" t="str">
        <f t="shared" si="3"/>
        <v>257</v>
      </c>
      <c r="S25" s="151">
        <f t="shared" si="3"/>
        <v>0</v>
      </c>
      <c r="T25" s="153">
        <f>+VLOOKUP($L25,Data_Validation!$A:$D,1,0)</f>
        <v>259</v>
      </c>
      <c r="U25" s="153">
        <f>+VLOOKUP($L25,Data_Validation!$A:$D,3,0)</f>
        <v>0</v>
      </c>
      <c r="V25" s="153">
        <f>+VLOOKUP($L25,Data_Validation!$A:$D,4,0)</f>
        <v>0</v>
      </c>
      <c r="W25" s="153">
        <f>+VLOOKUP($L25,Data_Validation!$A:$E,5,0)</f>
        <v>0</v>
      </c>
      <c r="X25" s="153">
        <f>+VLOOKUP($L25,Data_Validation!$A:$F,6,0)</f>
        <v>0</v>
      </c>
    </row>
    <row r="26" spans="1:24" ht="15.75" customHeight="1">
      <c r="A26" s="1430" t="s">
        <v>2249</v>
      </c>
      <c r="B26" s="1431">
        <v>300</v>
      </c>
      <c r="C26" s="1432"/>
      <c r="D26" s="1432"/>
      <c r="E26" s="1432"/>
      <c r="F26" s="1430" t="s">
        <v>1</v>
      </c>
      <c r="G26" s="1430" t="s">
        <v>2204</v>
      </c>
      <c r="H26" s="1432"/>
      <c r="I26" s="1433">
        <v>19061.43</v>
      </c>
      <c r="J26" s="1433">
        <v>0</v>
      </c>
      <c r="K26" s="1433">
        <v>19061.43</v>
      </c>
      <c r="L26" s="150">
        <f t="shared" si="0"/>
        <v>300</v>
      </c>
      <c r="M26" s="151" t="str">
        <f t="shared" si="1"/>
        <v>REC VEH PASSE DU 30-60</v>
      </c>
      <c r="N26" s="152">
        <f>+IF(OR($Q26=Parametres!$G$2,$Q26=Parametres!$G$3),I26,C26)</f>
        <v>19061.43</v>
      </c>
      <c r="O26" s="569">
        <f>+IF(OR($Q26=Parametres!$G$2,$Q26=Parametres!$G$3),J26,D26)</f>
        <v>0</v>
      </c>
      <c r="P26" s="152">
        <f>+IF(OR($Q26=Parametres!$G$2,$Q26=Parametres!$G$3),K26,E26)</f>
        <v>19061.43</v>
      </c>
      <c r="Q26" s="151" t="str">
        <f t="shared" si="3"/>
        <v>1-Mémo</v>
      </c>
      <c r="R26" s="150" t="str">
        <f t="shared" si="3"/>
        <v>30</v>
      </c>
      <c r="S26" s="151">
        <f t="shared" si="3"/>
        <v>0</v>
      </c>
      <c r="T26" s="153">
        <f>+VLOOKUP($L26,Data_Validation!$A:$D,1,0)</f>
        <v>300</v>
      </c>
      <c r="U26" s="153">
        <f>+VLOOKUP($L26,Data_Validation!$A:$D,3,0)</f>
        <v>0</v>
      </c>
      <c r="V26" s="153">
        <f>+VLOOKUP($L26,Data_Validation!$A:$D,4,0)</f>
        <v>0</v>
      </c>
      <c r="W26" s="153">
        <f>+VLOOKUP($L26,Data_Validation!$A:$E,5,0)</f>
        <v>0</v>
      </c>
      <c r="X26" s="153">
        <f>+VLOOKUP($L26,Data_Validation!$A:$F,6,0)</f>
        <v>0</v>
      </c>
    </row>
    <row r="27" spans="1:24" ht="15" customHeight="1">
      <c r="A27" s="1430" t="s">
        <v>2251</v>
      </c>
      <c r="B27" s="1431">
        <v>301</v>
      </c>
      <c r="C27" s="1432"/>
      <c r="D27" s="1432"/>
      <c r="E27" s="1432"/>
      <c r="F27" s="1430" t="s">
        <v>1</v>
      </c>
      <c r="G27" s="1430" t="s">
        <v>2204</v>
      </c>
      <c r="H27" s="1432"/>
      <c r="I27" s="1433">
        <v>174839.45</v>
      </c>
      <c r="J27" s="1433">
        <v>38257.69</v>
      </c>
      <c r="K27" s="1433">
        <v>213097.14</v>
      </c>
      <c r="L27" s="150">
        <f t="shared" si="0"/>
        <v>301</v>
      </c>
      <c r="M27" s="151" t="str">
        <f t="shared" si="1"/>
        <v>CLIENT S P ET A PASSE DU 30-60</v>
      </c>
      <c r="N27" s="152">
        <f>+IF(OR($Q27=Parametres!$G$2,$Q27=Parametres!$G$3),I27,C27)</f>
        <v>174839.45</v>
      </c>
      <c r="O27" s="569">
        <f>+IF(OR($Q27=Parametres!$G$2,$Q27=Parametres!$G$3),J27,D27)</f>
        <v>38257.69</v>
      </c>
      <c r="P27" s="152">
        <f>+IF(OR($Q27=Parametres!$G$2,$Q27=Parametres!$G$3),K27,E27)</f>
        <v>213097.14</v>
      </c>
      <c r="Q27" s="151" t="str">
        <f t="shared" si="3"/>
        <v>1-Mémo</v>
      </c>
      <c r="R27" s="150" t="str">
        <f t="shared" si="3"/>
        <v>30</v>
      </c>
      <c r="S27" s="151">
        <f t="shared" si="3"/>
        <v>0</v>
      </c>
      <c r="T27" s="153">
        <f>+VLOOKUP($L27,Data_Validation!$A:$D,1,0)</f>
        <v>301</v>
      </c>
      <c r="U27" s="153">
        <f>+VLOOKUP($L27,Data_Validation!$A:$D,3,0)</f>
        <v>0</v>
      </c>
      <c r="V27" s="153">
        <f>+VLOOKUP($L27,Data_Validation!$A:$D,4,0)</f>
        <v>0</v>
      </c>
      <c r="W27" s="153">
        <f>+VLOOKUP($L27,Data_Validation!$A:$E,5,0)</f>
        <v>0</v>
      </c>
      <c r="X27" s="153">
        <f>+VLOOKUP($L27,Data_Validation!$A:$F,6,0)</f>
        <v>0</v>
      </c>
    </row>
    <row r="28" spans="1:24" ht="15" customHeight="1">
      <c r="A28" s="1430" t="s">
        <v>2253</v>
      </c>
      <c r="B28" s="1431">
        <v>302</v>
      </c>
      <c r="C28" s="1432"/>
      <c r="D28" s="1432"/>
      <c r="E28" s="1432"/>
      <c r="F28" s="1430" t="s">
        <v>1</v>
      </c>
      <c r="G28" s="1430" t="s">
        <v>2204</v>
      </c>
      <c r="H28" s="1432"/>
      <c r="I28" s="1433">
        <v>128801.76</v>
      </c>
      <c r="J28" s="1433">
        <v>6020.62</v>
      </c>
      <c r="K28" s="1433">
        <v>134822.38</v>
      </c>
      <c r="L28" s="150">
        <f t="shared" si="0"/>
        <v>302</v>
      </c>
      <c r="M28" s="151" t="str">
        <f t="shared" si="1"/>
        <v>RECLAM GARANTIE VW PASSE DU 30-60</v>
      </c>
      <c r="N28" s="152">
        <f>+IF(OR($Q28=Parametres!$G$2,$Q28=Parametres!$G$3),I28,C28)</f>
        <v>128801.76</v>
      </c>
      <c r="O28" s="570">
        <f>+IF(OR($Q28=Parametres!$G$2,$Q28=Parametres!$G$3),J28,D28)</f>
        <v>6020.62</v>
      </c>
      <c r="P28" s="152">
        <f>+IF(OR($Q28=Parametres!$G$2,$Q28=Parametres!$G$3),K28,E28)</f>
        <v>134822.38</v>
      </c>
      <c r="Q28" s="151" t="str">
        <f t="shared" si="3"/>
        <v>1-Mémo</v>
      </c>
      <c r="R28" s="150" t="str">
        <f t="shared" si="3"/>
        <v>30</v>
      </c>
      <c r="S28" s="151">
        <f t="shared" si="3"/>
        <v>0</v>
      </c>
      <c r="T28" s="153">
        <f>+VLOOKUP($L28,Data_Validation!$A:$D,1,0)</f>
        <v>302</v>
      </c>
      <c r="U28" s="153">
        <f>+VLOOKUP($L28,Data_Validation!$A:$D,3,0)</f>
        <v>0</v>
      </c>
      <c r="V28" s="153">
        <f>+VLOOKUP($L28,Data_Validation!$A:$D,4,0)</f>
        <v>0</v>
      </c>
      <c r="W28" s="153">
        <f>+VLOOKUP($L28,Data_Validation!$A:$E,5,0)</f>
        <v>0</v>
      </c>
      <c r="X28" s="153">
        <f>+VLOOKUP($L28,Data_Validation!$A:$F,6,0)</f>
        <v>0</v>
      </c>
    </row>
    <row r="29" spans="1:24" ht="15" customHeight="1">
      <c r="A29" s="1430" t="s">
        <v>2255</v>
      </c>
      <c r="B29" s="1431">
        <v>307</v>
      </c>
      <c r="C29" s="1432"/>
      <c r="D29" s="1432"/>
      <c r="E29" s="1432"/>
      <c r="F29" s="1430" t="s">
        <v>1</v>
      </c>
      <c r="G29" s="1430" t="s">
        <v>2204</v>
      </c>
      <c r="H29" s="1432"/>
      <c r="I29" s="1433">
        <v>106402.63</v>
      </c>
      <c r="J29" s="1433">
        <v>0</v>
      </c>
      <c r="K29" s="1433">
        <v>106402.63</v>
      </c>
      <c r="L29" s="150">
        <f t="shared" si="0"/>
        <v>307</v>
      </c>
      <c r="M29" s="151" t="str">
        <f t="shared" si="1"/>
        <v>AUTRE REC MANUFACTURIER VW PASSE DU 30-60</v>
      </c>
      <c r="N29" s="152">
        <f>+IF(OR($Q29=Parametres!$G$2,$Q29=Parametres!$G$3),I29,C29)</f>
        <v>106402.63</v>
      </c>
      <c r="O29" s="570">
        <f>+IF(OR($Q29=Parametres!$G$2,$Q29=Parametres!$G$3),J29,D29)</f>
        <v>0</v>
      </c>
      <c r="P29" s="152">
        <f>+IF(OR($Q29=Parametres!$G$2,$Q29=Parametres!$G$3),K29,E29)</f>
        <v>106402.63</v>
      </c>
      <c r="Q29" s="151" t="str">
        <f t="shared" si="3"/>
        <v>1-Mémo</v>
      </c>
      <c r="R29" s="150" t="str">
        <f t="shared" si="3"/>
        <v>30</v>
      </c>
      <c r="S29" s="151">
        <f t="shared" si="3"/>
        <v>0</v>
      </c>
      <c r="T29" s="153">
        <f>+VLOOKUP($L29,Data_Validation!$A:$D,1,0)</f>
        <v>307</v>
      </c>
      <c r="U29" s="153">
        <f>+VLOOKUP($L29,Data_Validation!$A:$D,3,0)</f>
        <v>0</v>
      </c>
      <c r="V29" s="153">
        <f>+VLOOKUP($L29,Data_Validation!$A:$D,4,0)</f>
        <v>0</v>
      </c>
      <c r="W29" s="153">
        <f>+VLOOKUP($L29,Data_Validation!$A:$E,5,0)</f>
        <v>0</v>
      </c>
      <c r="X29" s="153">
        <f>+VLOOKUP($L29,Data_Validation!$A:$F,6,0)</f>
        <v>0</v>
      </c>
    </row>
    <row r="30" spans="1:24" ht="15" customHeight="1">
      <c r="A30" s="1430" t="s">
        <v>2257</v>
      </c>
      <c r="B30" s="1431">
        <v>311</v>
      </c>
      <c r="C30" s="1432"/>
      <c r="D30" s="1432"/>
      <c r="E30" s="1432"/>
      <c r="F30" s="1430" t="s">
        <v>1</v>
      </c>
      <c r="G30" s="1430" t="s">
        <v>2259</v>
      </c>
      <c r="H30" s="1432"/>
      <c r="I30" s="1433">
        <v>3309.66</v>
      </c>
      <c r="J30" s="1433">
        <v>0</v>
      </c>
      <c r="K30" s="1433">
        <v>3309.66</v>
      </c>
      <c r="L30" s="150">
        <f t="shared" si="0"/>
        <v>311</v>
      </c>
      <c r="M30" s="151" t="str">
        <f t="shared" si="1"/>
        <v>CLIENT VEH PLUS DE 60</v>
      </c>
      <c r="N30" s="152">
        <f>+IF(OR($Q30=Parametres!$G$2,$Q30=Parametres!$G$3),I30,C30)</f>
        <v>3309.66</v>
      </c>
      <c r="O30" s="569">
        <f>+IF(OR($Q30=Parametres!$G$2,$Q30=Parametres!$G$3),J30,D30)</f>
        <v>0</v>
      </c>
      <c r="P30" s="152">
        <f>+IF(OR($Q30=Parametres!$G$2,$Q30=Parametres!$G$3),K30,E30)</f>
        <v>3309.66</v>
      </c>
      <c r="Q30" s="151" t="str">
        <f t="shared" si="3"/>
        <v>1-Mémo</v>
      </c>
      <c r="R30" s="150" t="str">
        <f t="shared" si="3"/>
        <v>31</v>
      </c>
      <c r="S30" s="151">
        <f t="shared" si="3"/>
        <v>0</v>
      </c>
      <c r="T30" s="153">
        <f>+VLOOKUP($L30,Data_Validation!$A:$D,1,0)</f>
        <v>311</v>
      </c>
      <c r="U30" s="153">
        <f>+VLOOKUP($L30,Data_Validation!$A:$D,3,0)</f>
        <v>0</v>
      </c>
      <c r="V30" s="153">
        <f>+VLOOKUP($L30,Data_Validation!$A:$D,4,0)</f>
        <v>0</v>
      </c>
      <c r="W30" s="153">
        <f>+VLOOKUP($L30,Data_Validation!$A:$E,5,0)</f>
        <v>0</v>
      </c>
      <c r="X30" s="153">
        <f>+VLOOKUP($L30,Data_Validation!$A:$F,6,0)</f>
        <v>0</v>
      </c>
    </row>
    <row r="31" spans="1:24" ht="15" customHeight="1">
      <c r="A31" s="1430" t="s">
        <v>2260</v>
      </c>
      <c r="B31" s="1431">
        <v>312</v>
      </c>
      <c r="C31" s="1432"/>
      <c r="D31" s="1432"/>
      <c r="E31" s="1432"/>
      <c r="F31" s="1430" t="s">
        <v>1</v>
      </c>
      <c r="G31" s="1430" t="s">
        <v>2259</v>
      </c>
      <c r="H31" s="1432"/>
      <c r="I31" s="1433">
        <v>29511.439999999999</v>
      </c>
      <c r="J31" s="1433">
        <v>0</v>
      </c>
      <c r="K31" s="1433">
        <v>29511.439999999999</v>
      </c>
      <c r="L31" s="150">
        <f t="shared" si="0"/>
        <v>312</v>
      </c>
      <c r="M31" s="151" t="str">
        <f t="shared" si="1"/>
        <v>CLIENT S P ET A PLUS DE 60</v>
      </c>
      <c r="N31" s="152">
        <f>+IF(OR($Q31=Parametres!$G$2,$Q31=Parametres!$G$3),I31,C31)</f>
        <v>29511.439999999999</v>
      </c>
      <c r="O31" s="152">
        <f>+IF(OR($Q31=Parametres!$G$2,$Q31=Parametres!$G$3),J31,D31)</f>
        <v>0</v>
      </c>
      <c r="P31" s="152">
        <f>+IF(OR($Q31=Parametres!$G$2,$Q31=Parametres!$G$3),K31,E31)</f>
        <v>29511.439999999999</v>
      </c>
      <c r="Q31" s="151" t="str">
        <f t="shared" si="3"/>
        <v>1-Mémo</v>
      </c>
      <c r="R31" s="150" t="str">
        <f t="shared" si="3"/>
        <v>31</v>
      </c>
      <c r="S31" s="151">
        <f t="shared" si="3"/>
        <v>0</v>
      </c>
      <c r="T31" s="153">
        <f>+VLOOKUP($L31,Data_Validation!$A:$D,1,0)</f>
        <v>312</v>
      </c>
      <c r="U31" s="153">
        <f>+VLOOKUP($L31,Data_Validation!$A:$D,3,0)</f>
        <v>0</v>
      </c>
      <c r="V31" s="153">
        <f>+VLOOKUP($L31,Data_Validation!$A:$D,4,0)</f>
        <v>0</v>
      </c>
      <c r="W31" s="153">
        <f>+VLOOKUP($L31,Data_Validation!$A:$E,5,0)</f>
        <v>0</v>
      </c>
      <c r="X31" s="153">
        <f>+VLOOKUP($L31,Data_Validation!$A:$F,6,0)</f>
        <v>0</v>
      </c>
    </row>
    <row r="32" spans="1:24" ht="15" customHeight="1">
      <c r="A32" s="1430" t="s">
        <v>2262</v>
      </c>
      <c r="B32" s="1431">
        <v>313</v>
      </c>
      <c r="C32" s="1432"/>
      <c r="D32" s="1432"/>
      <c r="E32" s="1432"/>
      <c r="F32" s="1430" t="s">
        <v>1</v>
      </c>
      <c r="G32" s="1430" t="s">
        <v>2259</v>
      </c>
      <c r="H32" s="1432"/>
      <c r="I32" s="1433">
        <v>138815.78</v>
      </c>
      <c r="J32" s="1433">
        <v>14505.62</v>
      </c>
      <c r="K32" s="1433">
        <v>153321.4</v>
      </c>
      <c r="L32" s="150">
        <f t="shared" si="0"/>
        <v>313</v>
      </c>
      <c r="M32" s="151" t="str">
        <f t="shared" si="1"/>
        <v>RECLAMATIONS DE GARATIE VW PLUS DE 60</v>
      </c>
      <c r="N32" s="152">
        <f>+IF(OR($Q32=Parametres!$G$2,$Q32=Parametres!$G$3),I32,C32)</f>
        <v>138815.78</v>
      </c>
      <c r="O32" s="570">
        <f>+IF(OR($Q32=Parametres!$G$2,$Q32=Parametres!$G$3),J32,D32)</f>
        <v>14505.62</v>
      </c>
      <c r="P32" s="152">
        <f>+IF(OR($Q32=Parametres!$G$2,$Q32=Parametres!$G$3),K32,E32)</f>
        <v>153321.4</v>
      </c>
      <c r="Q32" s="151" t="str">
        <f t="shared" si="3"/>
        <v>1-Mémo</v>
      </c>
      <c r="R32" s="150" t="str">
        <f t="shared" si="3"/>
        <v>31</v>
      </c>
      <c r="S32" s="151">
        <f t="shared" si="3"/>
        <v>0</v>
      </c>
      <c r="T32" s="153">
        <f>+VLOOKUP($L32,Data_Validation!$A:$D,1,0)</f>
        <v>313</v>
      </c>
      <c r="U32" s="153">
        <f>+VLOOKUP($L32,Data_Validation!$A:$D,3,0)</f>
        <v>0</v>
      </c>
      <c r="V32" s="153">
        <f>+VLOOKUP($L32,Data_Validation!$A:$D,4,0)</f>
        <v>0</v>
      </c>
      <c r="W32" s="153">
        <f>+VLOOKUP($L32,Data_Validation!$A:$E,5,0)</f>
        <v>0</v>
      </c>
      <c r="X32" s="153">
        <f>+VLOOKUP($L32,Data_Validation!$A:$F,6,0)</f>
        <v>0</v>
      </c>
    </row>
    <row r="33" spans="1:24" ht="15" customHeight="1">
      <c r="A33" s="1430" t="s">
        <v>2264</v>
      </c>
      <c r="B33" s="1431">
        <v>316</v>
      </c>
      <c r="C33" s="1432"/>
      <c r="D33" s="1432"/>
      <c r="E33" s="1432"/>
      <c r="F33" s="1430" t="s">
        <v>1</v>
      </c>
      <c r="G33" s="1430" t="s">
        <v>2259</v>
      </c>
      <c r="H33" s="1432"/>
      <c r="I33" s="1433">
        <v>11980.51</v>
      </c>
      <c r="J33" s="1433">
        <v>0</v>
      </c>
      <c r="K33" s="1433">
        <v>11980.51</v>
      </c>
      <c r="L33" s="150">
        <f t="shared" si="0"/>
        <v>316</v>
      </c>
      <c r="M33" s="151" t="str">
        <f t="shared" si="1"/>
        <v>AUTRE REC MANUFACTURIER VW PLUS DE 60</v>
      </c>
      <c r="N33" s="152">
        <f>+IF(OR($Q33=Parametres!$G$2,$Q33=Parametres!$G$3),I33,C33)</f>
        <v>11980.51</v>
      </c>
      <c r="O33" s="570">
        <f>+IF(OR($Q33=Parametres!$G$2,$Q33=Parametres!$G$3),J33,D33)</f>
        <v>0</v>
      </c>
      <c r="P33" s="152">
        <f>+IF(OR($Q33=Parametres!$G$2,$Q33=Parametres!$G$3),K33,E33)</f>
        <v>11980.51</v>
      </c>
      <c r="Q33" s="151" t="str">
        <f t="shared" si="3"/>
        <v>1-Mémo</v>
      </c>
      <c r="R33" s="150" t="str">
        <f t="shared" si="3"/>
        <v>31</v>
      </c>
      <c r="S33" s="151">
        <f t="shared" si="3"/>
        <v>0</v>
      </c>
      <c r="T33" s="153">
        <f>+VLOOKUP($L33,Data_Validation!$A:$D,1,0)</f>
        <v>316</v>
      </c>
      <c r="U33" s="153">
        <f>+VLOOKUP($L33,Data_Validation!$A:$D,3,0)</f>
        <v>0</v>
      </c>
      <c r="V33" s="153">
        <f>+VLOOKUP($L33,Data_Validation!$A:$D,4,0)</f>
        <v>0</v>
      </c>
      <c r="W33" s="153">
        <f>+VLOOKUP($L33,Data_Validation!$A:$E,5,0)</f>
        <v>0</v>
      </c>
      <c r="X33" s="153">
        <f>+VLOOKUP($L33,Data_Validation!$A:$F,6,0)</f>
        <v>0</v>
      </c>
    </row>
    <row r="34" spans="1:24" ht="15.75" customHeight="1">
      <c r="A34" s="1430" t="s">
        <v>2266</v>
      </c>
      <c r="B34" s="1431">
        <v>350</v>
      </c>
      <c r="C34" s="1432"/>
      <c r="D34" s="1432"/>
      <c r="E34" s="1432"/>
      <c r="F34" s="1430" t="s">
        <v>1</v>
      </c>
      <c r="G34" s="1430" t="s">
        <v>3246</v>
      </c>
      <c r="H34" s="1432"/>
      <c r="I34" s="1433">
        <v>0.96</v>
      </c>
      <c r="J34" s="1433">
        <v>0.04</v>
      </c>
      <c r="K34" s="1433">
        <v>1</v>
      </c>
      <c r="L34" s="150">
        <f t="shared" si="0"/>
        <v>350</v>
      </c>
      <c r="M34" s="151" t="str">
        <f t="shared" si="1"/>
        <v>UNITES USAGES +30JRS</v>
      </c>
      <c r="N34" s="152">
        <f>+IF(OR($Q34=Parametres!$G$2,$Q34=Parametres!$G$3),I34,C34)</f>
        <v>0.96</v>
      </c>
      <c r="O34" s="569">
        <f>+IF(OR($Q34=Parametres!$G$2,$Q34=Parametres!$G$3),J34,D34)</f>
        <v>0.04</v>
      </c>
      <c r="P34" s="152">
        <f>+IF(OR($Q34=Parametres!$G$2,$Q34=Parametres!$G$3),K34,E34)</f>
        <v>1</v>
      </c>
      <c r="Q34" s="151" t="str">
        <f t="shared" ref="Q34:S49" si="4">+F34</f>
        <v>1-Mémo</v>
      </c>
      <c r="R34" s="150" t="str">
        <f t="shared" si="4"/>
        <v>35</v>
      </c>
      <c r="S34" s="151">
        <f t="shared" si="4"/>
        <v>0</v>
      </c>
      <c r="T34" s="153">
        <f>+VLOOKUP($L34,Data_Validation!$A:$D,1,0)</f>
        <v>350</v>
      </c>
      <c r="U34" s="153">
        <f>+VLOOKUP($L34,Data_Validation!$A:$D,3,0)</f>
        <v>0</v>
      </c>
      <c r="V34" s="153">
        <f>+VLOOKUP($L34,Data_Validation!$A:$D,4,0)</f>
        <v>0</v>
      </c>
      <c r="W34" s="153">
        <f>+VLOOKUP($L34,Data_Validation!$A:$E,5,0)</f>
        <v>0</v>
      </c>
      <c r="X34" s="153">
        <f>+VLOOKUP($L34,Data_Validation!$A:$F,6,0)</f>
        <v>0</v>
      </c>
    </row>
    <row r="35" spans="1:24" ht="15" customHeight="1">
      <c r="A35" s="1430" t="s">
        <v>2268</v>
      </c>
      <c r="B35" s="1431">
        <v>360</v>
      </c>
      <c r="C35" s="1432"/>
      <c r="D35" s="1432"/>
      <c r="E35" s="1432"/>
      <c r="F35" s="1430" t="s">
        <v>1</v>
      </c>
      <c r="G35" s="1430" t="s">
        <v>3247</v>
      </c>
      <c r="H35" s="1432"/>
      <c r="I35" s="1433">
        <v>1878476.98</v>
      </c>
      <c r="J35" s="1433">
        <v>91762.61</v>
      </c>
      <c r="K35" s="1433">
        <v>1970239.59</v>
      </c>
      <c r="L35" s="150">
        <f t="shared" si="0"/>
        <v>360</v>
      </c>
      <c r="M35" s="151" t="str">
        <f t="shared" si="1"/>
        <v>OCCASION VW + 60 JRS</v>
      </c>
      <c r="N35" s="152">
        <f>+IF(OR($Q35=Parametres!$G$2,$Q35=Parametres!$G$3),I35,C35)</f>
        <v>1878476.98</v>
      </c>
      <c r="O35" s="152">
        <f>+IF(OR($Q35=Parametres!$G$2,$Q35=Parametres!$G$3),J35,D35)</f>
        <v>91762.61</v>
      </c>
      <c r="P35" s="152">
        <f>+IF(OR($Q35=Parametres!$G$2,$Q35=Parametres!$G$3),K35,E35)</f>
        <v>1970239.59</v>
      </c>
      <c r="Q35" s="151" t="str">
        <f t="shared" si="4"/>
        <v>1-Mémo</v>
      </c>
      <c r="R35" s="150" t="str">
        <f t="shared" si="4"/>
        <v>36</v>
      </c>
      <c r="S35" s="151">
        <f t="shared" si="4"/>
        <v>0</v>
      </c>
      <c r="T35" s="153">
        <f>+VLOOKUP($L35,Data_Validation!$A:$D,1,0)</f>
        <v>360</v>
      </c>
      <c r="U35" s="153">
        <f>+VLOOKUP($L35,Data_Validation!$A:$D,3,0)</f>
        <v>0</v>
      </c>
      <c r="V35" s="153">
        <f>+VLOOKUP($L35,Data_Validation!$A:$D,4,0)</f>
        <v>0</v>
      </c>
      <c r="W35" s="153">
        <f>+VLOOKUP($L35,Data_Validation!$A:$E,5,0)</f>
        <v>0</v>
      </c>
      <c r="X35" s="153">
        <f>+VLOOKUP($L35,Data_Validation!$A:$F,6,0)</f>
        <v>0</v>
      </c>
    </row>
    <row r="36" spans="1:24" ht="15" customHeight="1">
      <c r="A36" s="1430" t="s">
        <v>2270</v>
      </c>
      <c r="B36" s="1431">
        <v>370</v>
      </c>
      <c r="C36" s="1432"/>
      <c r="D36" s="1432"/>
      <c r="E36" s="1432"/>
      <c r="F36" s="1430" t="s">
        <v>1</v>
      </c>
      <c r="G36" s="1430" t="s">
        <v>2881</v>
      </c>
      <c r="H36" s="1432"/>
      <c r="I36" s="1433">
        <v>425000</v>
      </c>
      <c r="J36" s="1433">
        <v>0</v>
      </c>
      <c r="K36" s="1433">
        <v>425000</v>
      </c>
      <c r="L36" s="150">
        <f t="shared" si="0"/>
        <v>370</v>
      </c>
      <c r="M36" s="151" t="str">
        <f t="shared" si="1"/>
        <v>AVOIR DU PROP. MIM. REQUIS</v>
      </c>
      <c r="N36" s="152">
        <f>+IF(OR($Q36=Parametres!$G$2,$Q36=Parametres!$G$3),I36,C36)</f>
        <v>425000</v>
      </c>
      <c r="O36" s="569">
        <f>+IF(OR($Q36=Parametres!$G$2,$Q36=Parametres!$G$3),J36,D36)</f>
        <v>0</v>
      </c>
      <c r="P36" s="152">
        <f>+IF(OR($Q36=Parametres!$G$2,$Q36=Parametres!$G$3),K36,E36)</f>
        <v>425000</v>
      </c>
      <c r="Q36" s="151" t="str">
        <f t="shared" si="4"/>
        <v>1-Mémo</v>
      </c>
      <c r="R36" s="150" t="str">
        <f t="shared" si="4"/>
        <v>37</v>
      </c>
      <c r="S36" s="151">
        <f t="shared" si="4"/>
        <v>0</v>
      </c>
      <c r="T36" s="153">
        <f>+VLOOKUP($L36,Data_Validation!$A:$D,1,0)</f>
        <v>370</v>
      </c>
      <c r="U36" s="153">
        <f>+VLOOKUP($L36,Data_Validation!$A:$D,3,0)</f>
        <v>0</v>
      </c>
      <c r="V36" s="153">
        <f>+VLOOKUP($L36,Data_Validation!$A:$D,4,0)</f>
        <v>0</v>
      </c>
      <c r="W36" s="153">
        <f>+VLOOKUP($L36,Data_Validation!$A:$E,5,0)</f>
        <v>0</v>
      </c>
      <c r="X36" s="153">
        <f>+VLOOKUP($L36,Data_Validation!$A:$F,6,0)</f>
        <v>0</v>
      </c>
    </row>
    <row r="37" spans="1:24" ht="15" customHeight="1">
      <c r="A37" s="1430" t="s">
        <v>2272</v>
      </c>
      <c r="B37" s="1431">
        <v>372</v>
      </c>
      <c r="C37" s="1432"/>
      <c r="D37" s="1432"/>
      <c r="E37" s="1432"/>
      <c r="F37" s="1430" t="s">
        <v>1</v>
      </c>
      <c r="G37" s="1430" t="s">
        <v>2881</v>
      </c>
      <c r="H37" s="1432"/>
      <c r="I37" s="1433">
        <v>737500</v>
      </c>
      <c r="J37" s="1433">
        <v>0</v>
      </c>
      <c r="K37" s="1433">
        <v>737500</v>
      </c>
      <c r="L37" s="150">
        <f t="shared" si="0"/>
        <v>372</v>
      </c>
      <c r="M37" s="151" t="str">
        <f t="shared" si="1"/>
        <v>FONDS DE ROULEMENT/MIN. REQUIS</v>
      </c>
      <c r="N37" s="152">
        <f>+IF(OR($Q37=Parametres!$G$2,$Q37=Parametres!$G$3),I37,C37)</f>
        <v>737500</v>
      </c>
      <c r="O37" s="152">
        <f>+IF(OR($Q37=Parametres!$G$2,$Q37=Parametres!$G$3),J37,D37)</f>
        <v>0</v>
      </c>
      <c r="P37" s="152">
        <f>+IF(OR($Q37=Parametres!$G$2,$Q37=Parametres!$G$3),K37,E37)</f>
        <v>737500</v>
      </c>
      <c r="Q37" s="151" t="str">
        <f t="shared" si="4"/>
        <v>1-Mémo</v>
      </c>
      <c r="R37" s="150" t="str">
        <f t="shared" si="4"/>
        <v>37</v>
      </c>
      <c r="S37" s="151">
        <f t="shared" si="4"/>
        <v>0</v>
      </c>
      <c r="T37" s="153">
        <f>+VLOOKUP($L37,Data_Validation!$A:$D,1,0)</f>
        <v>372</v>
      </c>
      <c r="U37" s="153">
        <f>+VLOOKUP($L37,Data_Validation!$A:$D,3,0)</f>
        <v>0</v>
      </c>
      <c r="V37" s="153">
        <f>+VLOOKUP($L37,Data_Validation!$A:$D,4,0)</f>
        <v>0</v>
      </c>
      <c r="W37" s="153">
        <f>+VLOOKUP($L37,Data_Validation!$A:$E,5,0)</f>
        <v>0</v>
      </c>
      <c r="X37" s="153">
        <f>+VLOOKUP($L37,Data_Validation!$A:$F,6,0)</f>
        <v>0</v>
      </c>
    </row>
    <row r="38" spans="1:24" ht="15" customHeight="1">
      <c r="A38" s="1430" t="s">
        <v>2274</v>
      </c>
      <c r="B38" s="1431">
        <v>401</v>
      </c>
      <c r="C38" s="1432"/>
      <c r="D38" s="1432"/>
      <c r="E38" s="1432"/>
      <c r="F38" s="1430" t="s">
        <v>1</v>
      </c>
      <c r="G38" s="1430" t="s">
        <v>2206</v>
      </c>
      <c r="H38" s="1432"/>
      <c r="I38" s="1433">
        <v>0.24</v>
      </c>
      <c r="J38" s="1433">
        <v>0</v>
      </c>
      <c r="K38" s="1433">
        <v>0.24</v>
      </c>
      <c r="L38" s="150">
        <f t="shared" si="0"/>
        <v>401</v>
      </c>
      <c r="M38" s="151" t="str">
        <f t="shared" si="1"/>
        <v>UNITES NEUVES VENDUES JANVIER</v>
      </c>
      <c r="N38" s="152">
        <f>+IF(OR($Q38=Parametres!$G$2,$Q38=Parametres!$G$3),I38,C38)</f>
        <v>0.24</v>
      </c>
      <c r="O38" s="569">
        <f>+IF(OR($Q38=Parametres!$G$2,$Q38=Parametres!$G$3),J38,D38)</f>
        <v>0</v>
      </c>
      <c r="P38" s="152">
        <f>+IF(OR($Q38=Parametres!$G$2,$Q38=Parametres!$G$3),K38,E38)</f>
        <v>0.24</v>
      </c>
      <c r="Q38" s="151" t="str">
        <f t="shared" si="4"/>
        <v>1-Mémo</v>
      </c>
      <c r="R38" s="150" t="str">
        <f t="shared" si="4"/>
        <v>40</v>
      </c>
      <c r="S38" s="151">
        <f t="shared" si="4"/>
        <v>0</v>
      </c>
      <c r="T38" s="153">
        <f>+VLOOKUP($L38,Data_Validation!$A:$D,1,0)</f>
        <v>401</v>
      </c>
      <c r="U38" s="153">
        <f>+VLOOKUP($L38,Data_Validation!$A:$D,3,0)</f>
        <v>0</v>
      </c>
      <c r="V38" s="153">
        <f>+VLOOKUP($L38,Data_Validation!$A:$D,4,0)</f>
        <v>0</v>
      </c>
      <c r="W38" s="153">
        <f>+VLOOKUP($L38,Data_Validation!$A:$E,5,0)</f>
        <v>0</v>
      </c>
      <c r="X38" s="153">
        <f>+VLOOKUP($L38,Data_Validation!$A:$F,6,0)</f>
        <v>0</v>
      </c>
    </row>
    <row r="39" spans="1:24" ht="15" customHeight="1">
      <c r="A39" s="1430" t="s">
        <v>2276</v>
      </c>
      <c r="B39" s="1431">
        <v>402</v>
      </c>
      <c r="C39" s="1432"/>
      <c r="D39" s="1432"/>
      <c r="E39" s="1432"/>
      <c r="F39" s="1430" t="s">
        <v>1</v>
      </c>
      <c r="G39" s="1430" t="s">
        <v>2206</v>
      </c>
      <c r="H39" s="1432"/>
      <c r="I39" s="1433">
        <v>0.52</v>
      </c>
      <c r="J39" s="1433">
        <v>0</v>
      </c>
      <c r="K39" s="1433">
        <v>0.52</v>
      </c>
      <c r="L39" s="150">
        <f t="shared" si="0"/>
        <v>402</v>
      </c>
      <c r="M39" s="151" t="str">
        <f t="shared" si="1"/>
        <v>UNITES NEUVES VENDUES FEVRIER</v>
      </c>
      <c r="N39" s="152">
        <f>+IF(OR($Q39=Parametres!$G$2,$Q39=Parametres!$G$3),I39,C39)</f>
        <v>0.52</v>
      </c>
      <c r="O39" s="571">
        <f>+IF(OR($Q39=Parametres!$G$2,$Q39=Parametres!$G$3),J39,D39)</f>
        <v>0</v>
      </c>
      <c r="P39" s="152">
        <f>+IF(OR($Q39=Parametres!$G$2,$Q39=Parametres!$G$3),K39,E39)</f>
        <v>0.52</v>
      </c>
      <c r="Q39" s="151" t="str">
        <f t="shared" si="4"/>
        <v>1-Mémo</v>
      </c>
      <c r="R39" s="150" t="str">
        <f t="shared" si="4"/>
        <v>40</v>
      </c>
      <c r="S39" s="151">
        <f t="shared" si="4"/>
        <v>0</v>
      </c>
      <c r="T39" s="153">
        <f>+VLOOKUP($L39,Data_Validation!$A:$D,1,0)</f>
        <v>402</v>
      </c>
      <c r="U39" s="153">
        <f>+VLOOKUP($L39,Data_Validation!$A:$D,3,0)</f>
        <v>0</v>
      </c>
      <c r="V39" s="153">
        <f>+VLOOKUP($L39,Data_Validation!$A:$D,4,0)</f>
        <v>0</v>
      </c>
      <c r="W39" s="153">
        <f>+VLOOKUP($L39,Data_Validation!$A:$E,5,0)</f>
        <v>0</v>
      </c>
      <c r="X39" s="153">
        <f>+VLOOKUP($L39,Data_Validation!$A:$F,6,0)</f>
        <v>0</v>
      </c>
    </row>
    <row r="40" spans="1:24" ht="15.75" customHeight="1">
      <c r="A40" s="1430" t="s">
        <v>2278</v>
      </c>
      <c r="B40" s="1431">
        <v>403</v>
      </c>
      <c r="C40" s="1432"/>
      <c r="D40" s="1432"/>
      <c r="E40" s="1432"/>
      <c r="F40" s="1430" t="s">
        <v>1</v>
      </c>
      <c r="G40" s="1430" t="s">
        <v>2206</v>
      </c>
      <c r="H40" s="1432"/>
      <c r="I40" s="1433">
        <v>0.81</v>
      </c>
      <c r="J40" s="1433">
        <v>0</v>
      </c>
      <c r="K40" s="1433">
        <v>0.81</v>
      </c>
      <c r="L40" s="150">
        <f t="shared" si="0"/>
        <v>403</v>
      </c>
      <c r="M40" s="151" t="str">
        <f t="shared" si="1"/>
        <v>UNITES NEUVES VENDUES MARS</v>
      </c>
      <c r="N40" s="152">
        <f>+IF(OR($Q40=Parametres!$G$2,$Q40=Parametres!$G$3),I40,C40)</f>
        <v>0.81</v>
      </c>
      <c r="O40" s="570">
        <f>+IF(OR($Q40=Parametres!$G$2,$Q40=Parametres!$G$3),J40,D40)</f>
        <v>0</v>
      </c>
      <c r="P40" s="152">
        <f>+IF(OR($Q40=Parametres!$G$2,$Q40=Parametres!$G$3),K40,E40)</f>
        <v>0.81</v>
      </c>
      <c r="Q40" s="151" t="str">
        <f t="shared" si="4"/>
        <v>1-Mémo</v>
      </c>
      <c r="R40" s="150" t="str">
        <f t="shared" si="4"/>
        <v>40</v>
      </c>
      <c r="S40" s="151">
        <f t="shared" si="4"/>
        <v>0</v>
      </c>
      <c r="T40" s="153">
        <f>+VLOOKUP($L40,Data_Validation!$A:$D,1,0)</f>
        <v>403</v>
      </c>
      <c r="U40" s="153">
        <f>+VLOOKUP($L40,Data_Validation!$A:$D,3,0)</f>
        <v>0</v>
      </c>
      <c r="V40" s="153">
        <f>+VLOOKUP($L40,Data_Validation!$A:$D,4,0)</f>
        <v>0</v>
      </c>
      <c r="W40" s="153">
        <f>+VLOOKUP($L40,Data_Validation!$A:$E,5,0)</f>
        <v>0</v>
      </c>
      <c r="X40" s="153">
        <f>+VLOOKUP($L40,Data_Validation!$A:$F,6,0)</f>
        <v>0</v>
      </c>
    </row>
    <row r="41" spans="1:24" ht="15" customHeight="1">
      <c r="A41" s="1430" t="s">
        <v>2280</v>
      </c>
      <c r="B41" s="1431">
        <v>404</v>
      </c>
      <c r="C41" s="1432"/>
      <c r="D41" s="1432"/>
      <c r="E41" s="1432"/>
      <c r="F41" s="1430" t="s">
        <v>1</v>
      </c>
      <c r="G41" s="1430" t="s">
        <v>2206</v>
      </c>
      <c r="H41" s="1432"/>
      <c r="I41" s="1433">
        <v>0.73</v>
      </c>
      <c r="J41" s="1433">
        <v>0</v>
      </c>
      <c r="K41" s="1433">
        <v>0.73</v>
      </c>
      <c r="L41" s="150">
        <f t="shared" si="0"/>
        <v>404</v>
      </c>
      <c r="M41" s="151" t="str">
        <f t="shared" si="1"/>
        <v>UNITES NEUVES VENDUES AVRIL</v>
      </c>
      <c r="N41" s="152">
        <f>+IF(OR($Q41=Parametres!$G$2,$Q41=Parametres!$G$3),I41,C41)</f>
        <v>0.73</v>
      </c>
      <c r="O41" s="569">
        <f>+IF(OR($Q41=Parametres!$G$2,$Q41=Parametres!$G$3),J41,D41)</f>
        <v>0</v>
      </c>
      <c r="P41" s="152">
        <f>+IF(OR($Q41=Parametres!$G$2,$Q41=Parametres!$G$3),K41,E41)</f>
        <v>0.73</v>
      </c>
      <c r="Q41" s="151" t="str">
        <f t="shared" si="4"/>
        <v>1-Mémo</v>
      </c>
      <c r="R41" s="150" t="str">
        <f t="shared" si="4"/>
        <v>40</v>
      </c>
      <c r="S41" s="151">
        <f t="shared" si="4"/>
        <v>0</v>
      </c>
      <c r="T41" s="153">
        <f>+VLOOKUP($L41,Data_Validation!$A:$D,1,0)</f>
        <v>404</v>
      </c>
      <c r="U41" s="153">
        <f>+VLOOKUP($L41,Data_Validation!$A:$D,3,0)</f>
        <v>0</v>
      </c>
      <c r="V41" s="153">
        <f>+VLOOKUP($L41,Data_Validation!$A:$D,4,0)</f>
        <v>0</v>
      </c>
      <c r="W41" s="153">
        <f>+VLOOKUP($L41,Data_Validation!$A:$E,5,0)</f>
        <v>0</v>
      </c>
      <c r="X41" s="153">
        <f>+VLOOKUP($L41,Data_Validation!$A:$F,6,0)</f>
        <v>0</v>
      </c>
    </row>
    <row r="42" spans="1:24" ht="15" customHeight="1">
      <c r="A42" s="1430" t="s">
        <v>2282</v>
      </c>
      <c r="B42" s="1431">
        <v>405</v>
      </c>
      <c r="C42" s="1432"/>
      <c r="D42" s="1432"/>
      <c r="E42" s="1432"/>
      <c r="F42" s="1430" t="s">
        <v>1</v>
      </c>
      <c r="G42" s="1430" t="s">
        <v>2206</v>
      </c>
      <c r="H42" s="1432"/>
      <c r="I42" s="1433">
        <v>0.91</v>
      </c>
      <c r="J42" s="1433">
        <v>0</v>
      </c>
      <c r="K42" s="1433">
        <v>0.91</v>
      </c>
      <c r="L42" s="150">
        <f t="shared" si="0"/>
        <v>405</v>
      </c>
      <c r="M42" s="151" t="str">
        <f t="shared" si="1"/>
        <v>UNITES NEUVES VENDUES MAI</v>
      </c>
      <c r="N42" s="152">
        <f>+IF(OR($Q42=Parametres!$G$2,$Q42=Parametres!$G$3),I42,C42)</f>
        <v>0.91</v>
      </c>
      <c r="O42" s="570">
        <f>+IF(OR($Q42=Parametres!$G$2,$Q42=Parametres!$G$3),J42,D42)</f>
        <v>0</v>
      </c>
      <c r="P42" s="152">
        <f>+IF(OR($Q42=Parametres!$G$2,$Q42=Parametres!$G$3),K42,E42)</f>
        <v>0.91</v>
      </c>
      <c r="Q42" s="151" t="str">
        <f t="shared" si="4"/>
        <v>1-Mémo</v>
      </c>
      <c r="R42" s="150" t="str">
        <f t="shared" si="4"/>
        <v>40</v>
      </c>
      <c r="S42" s="151">
        <f t="shared" si="4"/>
        <v>0</v>
      </c>
      <c r="T42" s="153">
        <f>+VLOOKUP($L42,Data_Validation!$A:$D,1,0)</f>
        <v>405</v>
      </c>
      <c r="U42" s="153">
        <f>+VLOOKUP($L42,Data_Validation!$A:$D,3,0)</f>
        <v>0</v>
      </c>
      <c r="V42" s="153">
        <f>+VLOOKUP($L42,Data_Validation!$A:$D,4,0)</f>
        <v>0</v>
      </c>
      <c r="W42" s="153">
        <f>+VLOOKUP($L42,Data_Validation!$A:$E,5,0)</f>
        <v>0</v>
      </c>
      <c r="X42" s="153">
        <f>+VLOOKUP($L42,Data_Validation!$A:$F,6,0)</f>
        <v>0</v>
      </c>
    </row>
    <row r="43" spans="1:24" ht="15" customHeight="1">
      <c r="A43" s="1430" t="s">
        <v>2284</v>
      </c>
      <c r="B43" s="1431">
        <v>406</v>
      </c>
      <c r="C43" s="1432"/>
      <c r="D43" s="1432"/>
      <c r="E43" s="1432"/>
      <c r="F43" s="1430" t="s">
        <v>1</v>
      </c>
      <c r="G43" s="1430" t="s">
        <v>2206</v>
      </c>
      <c r="H43" s="1432"/>
      <c r="I43" s="1433">
        <v>0.65</v>
      </c>
      <c r="J43" s="1433">
        <v>0</v>
      </c>
      <c r="K43" s="1433">
        <v>0.65</v>
      </c>
      <c r="L43" s="150">
        <f t="shared" si="0"/>
        <v>406</v>
      </c>
      <c r="M43" s="151" t="str">
        <f t="shared" si="1"/>
        <v>UNITES NEUVES VENDUES JUIN</v>
      </c>
      <c r="N43" s="152">
        <f>+IF(OR($Q43=Parametres!$G$2,$Q43=Parametres!$G$3),I43,C43)</f>
        <v>0.65</v>
      </c>
      <c r="O43" s="570">
        <f>+IF(OR($Q43=Parametres!$G$2,$Q43=Parametres!$G$3),J43,D43)</f>
        <v>0</v>
      </c>
      <c r="P43" s="152">
        <f>+IF(OR($Q43=Parametres!$G$2,$Q43=Parametres!$G$3),K43,E43)</f>
        <v>0.65</v>
      </c>
      <c r="Q43" s="151" t="str">
        <f t="shared" si="4"/>
        <v>1-Mémo</v>
      </c>
      <c r="R43" s="150" t="str">
        <f t="shared" si="4"/>
        <v>40</v>
      </c>
      <c r="S43" s="151">
        <f t="shared" si="4"/>
        <v>0</v>
      </c>
      <c r="T43" s="153">
        <f>+VLOOKUP($L43,Data_Validation!$A:$D,1,0)</f>
        <v>406</v>
      </c>
      <c r="U43" s="153">
        <f>+VLOOKUP($L43,Data_Validation!$A:$D,3,0)</f>
        <v>0</v>
      </c>
      <c r="V43" s="153">
        <f>+VLOOKUP($L43,Data_Validation!$A:$D,4,0)</f>
        <v>0</v>
      </c>
      <c r="W43" s="153">
        <f>+VLOOKUP($L43,Data_Validation!$A:$E,5,0)</f>
        <v>0</v>
      </c>
      <c r="X43" s="153">
        <f>+VLOOKUP($L43,Data_Validation!$A:$F,6,0)</f>
        <v>0</v>
      </c>
    </row>
    <row r="44" spans="1:24" ht="15.75" customHeight="1">
      <c r="A44" s="1430" t="s">
        <v>2286</v>
      </c>
      <c r="B44" s="1431">
        <v>407</v>
      </c>
      <c r="C44" s="1432"/>
      <c r="D44" s="1432"/>
      <c r="E44" s="1432"/>
      <c r="F44" s="1430" t="s">
        <v>1</v>
      </c>
      <c r="G44" s="1430" t="s">
        <v>2206</v>
      </c>
      <c r="H44" s="1432"/>
      <c r="I44" s="1433">
        <v>0.67</v>
      </c>
      <c r="J44" s="1433">
        <v>0</v>
      </c>
      <c r="K44" s="1433">
        <v>0.67</v>
      </c>
      <c r="L44" s="150">
        <f t="shared" si="0"/>
        <v>407</v>
      </c>
      <c r="M44" s="151" t="str">
        <f t="shared" si="1"/>
        <v>UNITES NEUVES VENDUES JUILLET</v>
      </c>
      <c r="N44" s="152">
        <f>+IF(OR($Q44=Parametres!$G$2,$Q44=Parametres!$G$3),I44,C44)</f>
        <v>0.67</v>
      </c>
      <c r="O44" s="570">
        <f>+IF(OR($Q44=Parametres!$G$2,$Q44=Parametres!$G$3),J44,D44)</f>
        <v>0</v>
      </c>
      <c r="P44" s="152">
        <f>+IF(OR($Q44=Parametres!$G$2,$Q44=Parametres!$G$3),K44,E44)</f>
        <v>0.67</v>
      </c>
      <c r="Q44" s="151" t="str">
        <f t="shared" si="4"/>
        <v>1-Mémo</v>
      </c>
      <c r="R44" s="150" t="str">
        <f t="shared" si="4"/>
        <v>40</v>
      </c>
      <c r="S44" s="151">
        <f t="shared" si="4"/>
        <v>0</v>
      </c>
      <c r="T44" s="153">
        <f>+VLOOKUP($L44,Data_Validation!$A:$D,1,0)</f>
        <v>407</v>
      </c>
      <c r="U44" s="153">
        <f>+VLOOKUP($L44,Data_Validation!$A:$D,3,0)</f>
        <v>0</v>
      </c>
      <c r="V44" s="153">
        <f>+VLOOKUP($L44,Data_Validation!$A:$D,4,0)</f>
        <v>0</v>
      </c>
      <c r="W44" s="153">
        <f>+VLOOKUP($L44,Data_Validation!$A:$E,5,0)</f>
        <v>0</v>
      </c>
      <c r="X44" s="153">
        <f>+VLOOKUP($L44,Data_Validation!$A:$F,6,0)</f>
        <v>0</v>
      </c>
    </row>
    <row r="45" spans="1:24" ht="15" customHeight="1">
      <c r="A45" s="1430" t="s">
        <v>2288</v>
      </c>
      <c r="B45" s="1431">
        <v>408</v>
      </c>
      <c r="C45" s="1432"/>
      <c r="D45" s="1432"/>
      <c r="E45" s="1432"/>
      <c r="F45" s="1430" t="s">
        <v>1</v>
      </c>
      <c r="G45" s="1430" t="s">
        <v>2206</v>
      </c>
      <c r="H45" s="1432"/>
      <c r="I45" s="1433">
        <v>0.78</v>
      </c>
      <c r="J45" s="1433">
        <v>0</v>
      </c>
      <c r="K45" s="1433">
        <v>0.78</v>
      </c>
      <c r="L45" s="150">
        <f t="shared" si="0"/>
        <v>408</v>
      </c>
      <c r="M45" s="151" t="str">
        <f t="shared" si="1"/>
        <v>UNITES NEUVES VENDUES AOUT</v>
      </c>
      <c r="N45" s="152">
        <f>+IF(OR($Q45=Parametres!$G$2,$Q45=Parametres!$G$3),I45,C45)</f>
        <v>0.78</v>
      </c>
      <c r="O45" s="570">
        <f>+IF(OR($Q45=Parametres!$G$2,$Q45=Parametres!$G$3),J45,D45)</f>
        <v>0</v>
      </c>
      <c r="P45" s="152">
        <f>+IF(OR($Q45=Parametres!$G$2,$Q45=Parametres!$G$3),K45,E45)</f>
        <v>0.78</v>
      </c>
      <c r="Q45" s="151" t="str">
        <f t="shared" si="4"/>
        <v>1-Mémo</v>
      </c>
      <c r="R45" s="150" t="str">
        <f t="shared" si="4"/>
        <v>40</v>
      </c>
      <c r="S45" s="151">
        <f t="shared" si="4"/>
        <v>0</v>
      </c>
      <c r="T45" s="153">
        <f>+VLOOKUP($L45,Data_Validation!$A:$D,1,0)</f>
        <v>408</v>
      </c>
      <c r="U45" s="153">
        <f>+VLOOKUP($L45,Data_Validation!$A:$D,3,0)</f>
        <v>0</v>
      </c>
      <c r="V45" s="153">
        <f>+VLOOKUP($L45,Data_Validation!$A:$D,4,0)</f>
        <v>0</v>
      </c>
      <c r="W45" s="153">
        <f>+VLOOKUP($L45,Data_Validation!$A:$E,5,0)</f>
        <v>0</v>
      </c>
      <c r="X45" s="153">
        <f>+VLOOKUP($L45,Data_Validation!$A:$F,6,0)</f>
        <v>0</v>
      </c>
    </row>
    <row r="46" spans="1:24" ht="15" customHeight="1">
      <c r="A46" s="1430" t="s">
        <v>2290</v>
      </c>
      <c r="B46" s="1431">
        <v>409</v>
      </c>
      <c r="C46" s="1432"/>
      <c r="D46" s="1432"/>
      <c r="E46" s="1432"/>
      <c r="F46" s="1430" t="s">
        <v>1</v>
      </c>
      <c r="G46" s="1430" t="s">
        <v>2206</v>
      </c>
      <c r="H46" s="1432"/>
      <c r="I46" s="1433">
        <v>0.91</v>
      </c>
      <c r="J46" s="1433">
        <v>0</v>
      </c>
      <c r="K46" s="1433">
        <v>0.91</v>
      </c>
      <c r="L46" s="150">
        <f t="shared" si="0"/>
        <v>409</v>
      </c>
      <c r="M46" s="151" t="str">
        <f t="shared" si="1"/>
        <v>UNITES NEUVES VENDUES SEPTEMBRE</v>
      </c>
      <c r="N46" s="152">
        <f>+IF(OR($Q46=Parametres!$G$2,$Q46=Parametres!$G$3),I46,C46)</f>
        <v>0.91</v>
      </c>
      <c r="O46" s="570">
        <f>+IF(OR($Q46=Parametres!$G$2,$Q46=Parametres!$G$3),J46,D46)</f>
        <v>0</v>
      </c>
      <c r="P46" s="152">
        <f>+IF(OR($Q46=Parametres!$G$2,$Q46=Parametres!$G$3),K46,E46)</f>
        <v>0.91</v>
      </c>
      <c r="Q46" s="151" t="str">
        <f t="shared" si="4"/>
        <v>1-Mémo</v>
      </c>
      <c r="R46" s="150" t="str">
        <f t="shared" si="4"/>
        <v>40</v>
      </c>
      <c r="S46" s="151">
        <f t="shared" si="4"/>
        <v>0</v>
      </c>
      <c r="T46" s="153">
        <f>+VLOOKUP($L46,Data_Validation!$A:$D,1,0)</f>
        <v>409</v>
      </c>
      <c r="U46" s="153">
        <f>+VLOOKUP($L46,Data_Validation!$A:$D,3,0)</f>
        <v>0</v>
      </c>
      <c r="V46" s="153">
        <f>+VLOOKUP($L46,Data_Validation!$A:$D,4,0)</f>
        <v>0</v>
      </c>
      <c r="W46" s="153">
        <f>+VLOOKUP($L46,Data_Validation!$A:$E,5,0)</f>
        <v>0</v>
      </c>
      <c r="X46" s="153">
        <f>+VLOOKUP($L46,Data_Validation!$A:$F,6,0)</f>
        <v>0</v>
      </c>
    </row>
    <row r="47" spans="1:24" ht="15" customHeight="1">
      <c r="A47" s="1430" t="s">
        <v>2292</v>
      </c>
      <c r="B47" s="1431">
        <v>410</v>
      </c>
      <c r="C47" s="1432"/>
      <c r="D47" s="1432"/>
      <c r="E47" s="1432"/>
      <c r="F47" s="1430" t="s">
        <v>1</v>
      </c>
      <c r="G47" s="1430" t="s">
        <v>2206</v>
      </c>
      <c r="H47" s="1432"/>
      <c r="I47" s="1433">
        <v>0.76</v>
      </c>
      <c r="J47" s="1433">
        <v>0</v>
      </c>
      <c r="K47" s="1433">
        <v>0.76</v>
      </c>
      <c r="L47" s="150">
        <f t="shared" si="0"/>
        <v>410</v>
      </c>
      <c r="M47" s="151" t="str">
        <f t="shared" si="1"/>
        <v>UNITES NEUVES VENDUES OCTOBRE</v>
      </c>
      <c r="N47" s="152">
        <f>+IF(OR($Q47=Parametres!$G$2,$Q47=Parametres!$G$3),I47,C47)</f>
        <v>0.76</v>
      </c>
      <c r="O47" s="152">
        <f>+IF(OR($Q47=Parametres!$G$2,$Q47=Parametres!$G$3),J47,D47)</f>
        <v>0</v>
      </c>
      <c r="P47" s="152">
        <f>+IF(OR($Q47=Parametres!$G$2,$Q47=Parametres!$G$3),K47,E47)</f>
        <v>0.76</v>
      </c>
      <c r="Q47" s="151" t="str">
        <f t="shared" si="4"/>
        <v>1-Mémo</v>
      </c>
      <c r="R47" s="150" t="str">
        <f t="shared" si="4"/>
        <v>40</v>
      </c>
      <c r="S47" s="151">
        <f t="shared" si="4"/>
        <v>0</v>
      </c>
      <c r="T47" s="153">
        <f>+VLOOKUP($L47,Data_Validation!$A:$D,1,0)</f>
        <v>410</v>
      </c>
      <c r="U47" s="153">
        <f>+VLOOKUP($L47,Data_Validation!$A:$D,3,0)</f>
        <v>0</v>
      </c>
      <c r="V47" s="153">
        <f>+VLOOKUP($L47,Data_Validation!$A:$D,4,0)</f>
        <v>0</v>
      </c>
      <c r="W47" s="153">
        <f>+VLOOKUP($L47,Data_Validation!$A:$E,5,0)</f>
        <v>0</v>
      </c>
      <c r="X47" s="153">
        <f>+VLOOKUP($L47,Data_Validation!$A:$F,6,0)</f>
        <v>0</v>
      </c>
    </row>
    <row r="48" spans="1:24" ht="15.75" customHeight="1">
      <c r="A48" s="1430" t="s">
        <v>2294</v>
      </c>
      <c r="B48" s="1431">
        <v>411</v>
      </c>
      <c r="C48" s="1432"/>
      <c r="D48" s="1432"/>
      <c r="E48" s="1432"/>
      <c r="F48" s="1430" t="s">
        <v>1</v>
      </c>
      <c r="G48" s="1430" t="s">
        <v>2206</v>
      </c>
      <c r="H48" s="1432"/>
      <c r="I48" s="1433">
        <v>0</v>
      </c>
      <c r="J48" s="1433">
        <v>0.8</v>
      </c>
      <c r="K48" s="1433">
        <v>0.8</v>
      </c>
      <c r="L48" s="150">
        <f t="shared" si="0"/>
        <v>411</v>
      </c>
      <c r="M48" s="151" t="str">
        <f t="shared" si="1"/>
        <v>UNITES NEUVES VENDUES NOVEMBRE</v>
      </c>
      <c r="N48" s="152">
        <f>+IF(OR($Q48=Parametres!$G$2,$Q48=Parametres!$G$3),I48,C48)</f>
        <v>0</v>
      </c>
      <c r="O48" s="152">
        <f>+IF(OR($Q48=Parametres!$G$2,$Q48=Parametres!$G$3),J48,D48)</f>
        <v>0.8</v>
      </c>
      <c r="P48" s="152">
        <f>+IF(OR($Q48=Parametres!$G$2,$Q48=Parametres!$G$3),K48,E48)</f>
        <v>0.8</v>
      </c>
      <c r="Q48" s="151" t="str">
        <f t="shared" si="4"/>
        <v>1-Mémo</v>
      </c>
      <c r="R48" s="150" t="str">
        <f t="shared" si="4"/>
        <v>40</v>
      </c>
      <c r="S48" s="151">
        <f t="shared" si="4"/>
        <v>0</v>
      </c>
      <c r="T48" s="153">
        <f>+VLOOKUP($L48,Data_Validation!$A:$D,1,0)</f>
        <v>411</v>
      </c>
      <c r="U48" s="153">
        <f>+VLOOKUP($L48,Data_Validation!$A:$D,3,0)</f>
        <v>0</v>
      </c>
      <c r="V48" s="153">
        <f>+VLOOKUP($L48,Data_Validation!$A:$D,4,0)</f>
        <v>0</v>
      </c>
      <c r="W48" s="153">
        <f>+VLOOKUP($L48,Data_Validation!$A:$E,5,0)</f>
        <v>0</v>
      </c>
      <c r="X48" s="153">
        <f>+VLOOKUP($L48,Data_Validation!$A:$F,6,0)</f>
        <v>0</v>
      </c>
    </row>
    <row r="49" spans="1:24" ht="15" customHeight="1">
      <c r="A49" s="1430" t="s">
        <v>2295</v>
      </c>
      <c r="B49" s="1431">
        <v>421</v>
      </c>
      <c r="C49" s="1432"/>
      <c r="D49" s="1432"/>
      <c r="E49" s="1432"/>
      <c r="F49" s="1430" t="s">
        <v>1</v>
      </c>
      <c r="G49" s="1430" t="s">
        <v>2297</v>
      </c>
      <c r="H49" s="1432"/>
      <c r="I49" s="1433">
        <v>0.15</v>
      </c>
      <c r="J49" s="1433">
        <v>0</v>
      </c>
      <c r="K49" s="1433">
        <v>0.15</v>
      </c>
      <c r="L49" s="150">
        <f t="shared" si="0"/>
        <v>421</v>
      </c>
      <c r="M49" s="151" t="str">
        <f t="shared" si="1"/>
        <v>UNITES USAGES DET./ JANV.</v>
      </c>
      <c r="N49" s="152">
        <f>+IF(OR($Q49=Parametres!$G$2,$Q49=Parametres!$G$3),I49,C49)</f>
        <v>0.15</v>
      </c>
      <c r="O49" s="569">
        <f>+IF(OR($Q49=Parametres!$G$2,$Q49=Parametres!$G$3),J49,D49)</f>
        <v>0</v>
      </c>
      <c r="P49" s="152">
        <f>+IF(OR($Q49=Parametres!$G$2,$Q49=Parametres!$G$3),K49,E49)</f>
        <v>0.15</v>
      </c>
      <c r="Q49" s="151" t="str">
        <f t="shared" si="4"/>
        <v>1-Mémo</v>
      </c>
      <c r="R49" s="150" t="str">
        <f t="shared" si="4"/>
        <v>42</v>
      </c>
      <c r="S49" s="151">
        <f t="shared" si="4"/>
        <v>0</v>
      </c>
      <c r="T49" s="153">
        <f>+VLOOKUP($L49,Data_Validation!$A:$D,1,0)</f>
        <v>421</v>
      </c>
      <c r="U49" s="153">
        <f>+VLOOKUP($L49,Data_Validation!$A:$D,3,0)</f>
        <v>0</v>
      </c>
      <c r="V49" s="153">
        <f>+VLOOKUP($L49,Data_Validation!$A:$D,4,0)</f>
        <v>0</v>
      </c>
      <c r="W49" s="153">
        <f>+VLOOKUP($L49,Data_Validation!$A:$E,5,0)</f>
        <v>0</v>
      </c>
      <c r="X49" s="153">
        <f>+VLOOKUP($L49,Data_Validation!$A:$F,6,0)</f>
        <v>0</v>
      </c>
    </row>
    <row r="50" spans="1:24" ht="15" customHeight="1">
      <c r="A50" s="1430" t="s">
        <v>2298</v>
      </c>
      <c r="B50" s="1431">
        <v>422</v>
      </c>
      <c r="C50" s="1432"/>
      <c r="D50" s="1432"/>
      <c r="E50" s="1432"/>
      <c r="F50" s="1430" t="s">
        <v>1</v>
      </c>
      <c r="G50" s="1430" t="s">
        <v>2297</v>
      </c>
      <c r="H50" s="1432"/>
      <c r="I50" s="1433">
        <v>0.3</v>
      </c>
      <c r="J50" s="1433">
        <v>0</v>
      </c>
      <c r="K50" s="1433">
        <v>0.3</v>
      </c>
      <c r="L50" s="150">
        <f t="shared" si="0"/>
        <v>422</v>
      </c>
      <c r="M50" s="151" t="str">
        <f t="shared" si="1"/>
        <v>UNITES USAGES DET./ FEVR.</v>
      </c>
      <c r="N50" s="152">
        <f>+IF(OR($Q50=Parametres!$G$2,$Q50=Parametres!$G$3),I50,C50)</f>
        <v>0.3</v>
      </c>
      <c r="O50" s="570">
        <f>+IF(OR($Q50=Parametres!$G$2,$Q50=Parametres!$G$3),J50,D50)</f>
        <v>0</v>
      </c>
      <c r="P50" s="152">
        <f>+IF(OR($Q50=Parametres!$G$2,$Q50=Parametres!$G$3),K50,E50)</f>
        <v>0.3</v>
      </c>
      <c r="Q50" s="151" t="str">
        <f t="shared" ref="Q50:S65" si="5">+F50</f>
        <v>1-Mémo</v>
      </c>
      <c r="R50" s="150" t="str">
        <f t="shared" si="5"/>
        <v>42</v>
      </c>
      <c r="S50" s="151">
        <f t="shared" si="5"/>
        <v>0</v>
      </c>
      <c r="T50" s="153">
        <f>+VLOOKUP($L50,Data_Validation!$A:$D,1,0)</f>
        <v>422</v>
      </c>
      <c r="U50" s="153">
        <f>+VLOOKUP($L50,Data_Validation!$A:$D,3,0)</f>
        <v>0</v>
      </c>
      <c r="V50" s="153">
        <f>+VLOOKUP($L50,Data_Validation!$A:$D,4,0)</f>
        <v>0</v>
      </c>
      <c r="W50" s="153">
        <f>+VLOOKUP($L50,Data_Validation!$A:$E,5,0)</f>
        <v>0</v>
      </c>
      <c r="X50" s="153">
        <f>+VLOOKUP($L50,Data_Validation!$A:$F,6,0)</f>
        <v>0</v>
      </c>
    </row>
    <row r="51" spans="1:24" ht="15" customHeight="1">
      <c r="A51" s="1430" t="s">
        <v>2300</v>
      </c>
      <c r="B51" s="1431">
        <v>423</v>
      </c>
      <c r="C51" s="1432"/>
      <c r="D51" s="1432"/>
      <c r="E51" s="1432"/>
      <c r="F51" s="1430" t="s">
        <v>1</v>
      </c>
      <c r="G51" s="1430" t="s">
        <v>2297</v>
      </c>
      <c r="H51" s="1432"/>
      <c r="I51" s="1433">
        <v>0.42</v>
      </c>
      <c r="J51" s="1433">
        <v>0</v>
      </c>
      <c r="K51" s="1433">
        <v>0.42</v>
      </c>
      <c r="L51" s="150">
        <f t="shared" si="0"/>
        <v>423</v>
      </c>
      <c r="M51" s="151" t="str">
        <f t="shared" si="1"/>
        <v>UNITES USAGES DET./ MARS</v>
      </c>
      <c r="N51" s="152">
        <f>+IF(OR($Q51=Parametres!$G$2,$Q51=Parametres!$G$3),I51,C51)</f>
        <v>0.42</v>
      </c>
      <c r="O51" s="570">
        <f>+IF(OR($Q51=Parametres!$G$2,$Q51=Parametres!$G$3),J51,D51)</f>
        <v>0</v>
      </c>
      <c r="P51" s="152">
        <f>+IF(OR($Q51=Parametres!$G$2,$Q51=Parametres!$G$3),K51,E51)</f>
        <v>0.42</v>
      </c>
      <c r="Q51" s="151" t="str">
        <f t="shared" si="5"/>
        <v>1-Mémo</v>
      </c>
      <c r="R51" s="150" t="str">
        <f t="shared" si="5"/>
        <v>42</v>
      </c>
      <c r="S51" s="151">
        <f t="shared" si="5"/>
        <v>0</v>
      </c>
      <c r="T51" s="153">
        <f>+VLOOKUP($L51,Data_Validation!$A:$D,1,0)</f>
        <v>423</v>
      </c>
      <c r="U51" s="153">
        <f>+VLOOKUP($L51,Data_Validation!$A:$D,3,0)</f>
        <v>0</v>
      </c>
      <c r="V51" s="153">
        <f>+VLOOKUP($L51,Data_Validation!$A:$D,4,0)</f>
        <v>0</v>
      </c>
      <c r="W51" s="153">
        <f>+VLOOKUP($L51,Data_Validation!$A:$E,5,0)</f>
        <v>0</v>
      </c>
      <c r="X51" s="153">
        <f>+VLOOKUP($L51,Data_Validation!$A:$F,6,0)</f>
        <v>0</v>
      </c>
    </row>
    <row r="52" spans="1:24" ht="15.75" customHeight="1">
      <c r="A52" s="1430" t="s">
        <v>2302</v>
      </c>
      <c r="B52" s="1431">
        <v>424</v>
      </c>
      <c r="C52" s="1432"/>
      <c r="D52" s="1432"/>
      <c r="E52" s="1432"/>
      <c r="F52" s="1430" t="s">
        <v>1</v>
      </c>
      <c r="G52" s="1430" t="s">
        <v>2297</v>
      </c>
      <c r="H52" s="1432"/>
      <c r="I52" s="1433">
        <v>0.41</v>
      </c>
      <c r="J52" s="1433">
        <v>0</v>
      </c>
      <c r="K52" s="1433">
        <v>0.41</v>
      </c>
      <c r="L52" s="150">
        <f t="shared" si="0"/>
        <v>424</v>
      </c>
      <c r="M52" s="151" t="str">
        <f t="shared" si="1"/>
        <v>UNITES USAGES DET./ AVRIL</v>
      </c>
      <c r="N52" s="152">
        <f>+IF(OR($Q52=Parametres!$G$2,$Q52=Parametres!$G$3),I52,C52)</f>
        <v>0.41</v>
      </c>
      <c r="O52" s="152">
        <f>+IF(OR($Q52=Parametres!$G$2,$Q52=Parametres!$G$3),J52,D52)</f>
        <v>0</v>
      </c>
      <c r="P52" s="152">
        <f>+IF(OR($Q52=Parametres!$G$2,$Q52=Parametres!$G$3),K52,E52)</f>
        <v>0.41</v>
      </c>
      <c r="Q52" s="151" t="str">
        <f t="shared" si="5"/>
        <v>1-Mémo</v>
      </c>
      <c r="R52" s="150" t="str">
        <f t="shared" si="5"/>
        <v>42</v>
      </c>
      <c r="S52" s="151">
        <f t="shared" si="5"/>
        <v>0</v>
      </c>
      <c r="T52" s="153">
        <f>+VLOOKUP($L52,Data_Validation!$A:$D,1,0)</f>
        <v>424</v>
      </c>
      <c r="U52" s="153">
        <f>+VLOOKUP($L52,Data_Validation!$A:$D,3,0)</f>
        <v>0</v>
      </c>
      <c r="V52" s="153">
        <f>+VLOOKUP($L52,Data_Validation!$A:$D,4,0)</f>
        <v>0</v>
      </c>
      <c r="W52" s="153">
        <f>+VLOOKUP($L52,Data_Validation!$A:$E,5,0)</f>
        <v>0</v>
      </c>
      <c r="X52" s="153">
        <f>+VLOOKUP($L52,Data_Validation!$A:$F,6,0)</f>
        <v>0</v>
      </c>
    </row>
    <row r="53" spans="1:24" ht="15" customHeight="1">
      <c r="A53" s="1430" t="s">
        <v>2304</v>
      </c>
      <c r="B53" s="1431">
        <v>425</v>
      </c>
      <c r="C53" s="1432"/>
      <c r="D53" s="1432"/>
      <c r="E53" s="1432"/>
      <c r="F53" s="1430" t="s">
        <v>1</v>
      </c>
      <c r="G53" s="1430" t="s">
        <v>2297</v>
      </c>
      <c r="H53" s="1432"/>
      <c r="I53" s="1433">
        <v>0.39</v>
      </c>
      <c r="J53" s="1433">
        <v>0</v>
      </c>
      <c r="K53" s="1433">
        <v>0.39</v>
      </c>
      <c r="L53" s="150">
        <f t="shared" si="0"/>
        <v>425</v>
      </c>
      <c r="M53" s="151" t="str">
        <f t="shared" si="1"/>
        <v>UNITES USAGES DET./ MAI</v>
      </c>
      <c r="N53" s="152">
        <f>+IF(OR($Q53=Parametres!$G$2,$Q53=Parametres!$G$3),I53,C53)</f>
        <v>0.39</v>
      </c>
      <c r="O53" s="569">
        <f>+IF(OR($Q53=Parametres!$G$2,$Q53=Parametres!$G$3),J53,D53)</f>
        <v>0</v>
      </c>
      <c r="P53" s="152">
        <f>+IF(OR($Q53=Parametres!$G$2,$Q53=Parametres!$G$3),K53,E53)</f>
        <v>0.39</v>
      </c>
      <c r="Q53" s="151" t="str">
        <f t="shared" si="5"/>
        <v>1-Mémo</v>
      </c>
      <c r="R53" s="150" t="str">
        <f t="shared" si="5"/>
        <v>42</v>
      </c>
      <c r="S53" s="151">
        <f t="shared" si="5"/>
        <v>0</v>
      </c>
      <c r="T53" s="153">
        <f>+VLOOKUP($L53,Data_Validation!$A:$D,1,0)</f>
        <v>425</v>
      </c>
      <c r="U53" s="153">
        <f>+VLOOKUP($L53,Data_Validation!$A:$D,3,0)</f>
        <v>0</v>
      </c>
      <c r="V53" s="153">
        <f>+VLOOKUP($L53,Data_Validation!$A:$D,4,0)</f>
        <v>0</v>
      </c>
      <c r="W53" s="153">
        <f>+VLOOKUP($L53,Data_Validation!$A:$E,5,0)</f>
        <v>0</v>
      </c>
      <c r="X53" s="153">
        <f>+VLOOKUP($L53,Data_Validation!$A:$F,6,0)</f>
        <v>0</v>
      </c>
    </row>
    <row r="54" spans="1:24" ht="15" customHeight="1">
      <c r="A54" s="1430" t="s">
        <v>2306</v>
      </c>
      <c r="B54" s="1431">
        <v>426</v>
      </c>
      <c r="C54" s="1432"/>
      <c r="D54" s="1432"/>
      <c r="E54" s="1432"/>
      <c r="F54" s="1430" t="s">
        <v>1</v>
      </c>
      <c r="G54" s="1430" t="s">
        <v>2297</v>
      </c>
      <c r="H54" s="1432"/>
      <c r="I54" s="1433">
        <v>0.37</v>
      </c>
      <c r="J54" s="1433">
        <v>0</v>
      </c>
      <c r="K54" s="1433">
        <v>0.37</v>
      </c>
      <c r="L54" s="150">
        <f t="shared" si="0"/>
        <v>426</v>
      </c>
      <c r="M54" s="151" t="str">
        <f t="shared" si="1"/>
        <v>UNITES USAGES DET./ JUIN</v>
      </c>
      <c r="N54" s="152">
        <f>+IF(OR($Q54=Parametres!$G$2,$Q54=Parametres!$G$3),I54,C54)</f>
        <v>0.37</v>
      </c>
      <c r="O54" s="152">
        <f>+IF(OR($Q54=Parametres!$G$2,$Q54=Parametres!$G$3),J54,D54)</f>
        <v>0</v>
      </c>
      <c r="P54" s="152">
        <f>+IF(OR($Q54=Parametres!$G$2,$Q54=Parametres!$G$3),K54,E54)</f>
        <v>0.37</v>
      </c>
      <c r="Q54" s="151" t="str">
        <f t="shared" si="5"/>
        <v>1-Mémo</v>
      </c>
      <c r="R54" s="150" t="str">
        <f t="shared" si="5"/>
        <v>42</v>
      </c>
      <c r="S54" s="151">
        <f t="shared" si="5"/>
        <v>0</v>
      </c>
      <c r="T54" s="153">
        <f>+VLOOKUP($L54,Data_Validation!$A:$D,1,0)</f>
        <v>426</v>
      </c>
      <c r="U54" s="153">
        <f>+VLOOKUP($L54,Data_Validation!$A:$D,3,0)</f>
        <v>0</v>
      </c>
      <c r="V54" s="153">
        <f>+VLOOKUP($L54,Data_Validation!$A:$D,4,0)</f>
        <v>0</v>
      </c>
      <c r="W54" s="153">
        <f>+VLOOKUP($L54,Data_Validation!$A:$E,5,0)</f>
        <v>0</v>
      </c>
      <c r="X54" s="153">
        <f>+VLOOKUP($L54,Data_Validation!$A:$F,6,0)</f>
        <v>0</v>
      </c>
    </row>
    <row r="55" spans="1:24" ht="15" customHeight="1">
      <c r="A55" s="1430" t="s">
        <v>2308</v>
      </c>
      <c r="B55" s="1431">
        <v>427</v>
      </c>
      <c r="C55" s="1432"/>
      <c r="D55" s="1432"/>
      <c r="E55" s="1432"/>
      <c r="F55" s="1430" t="s">
        <v>1</v>
      </c>
      <c r="G55" s="1430" t="s">
        <v>2297</v>
      </c>
      <c r="H55" s="1432"/>
      <c r="I55" s="1433">
        <v>0.41</v>
      </c>
      <c r="J55" s="1433">
        <v>0</v>
      </c>
      <c r="K55" s="1433">
        <v>0.41</v>
      </c>
      <c r="L55" s="150">
        <f t="shared" si="0"/>
        <v>427</v>
      </c>
      <c r="M55" s="151" t="str">
        <f t="shared" si="1"/>
        <v>UNITES USAGES DET./ JUILLET</v>
      </c>
      <c r="N55" s="152">
        <f>+IF(OR($Q55=Parametres!$G$2,$Q55=Parametres!$G$3),I55,C55)</f>
        <v>0.41</v>
      </c>
      <c r="O55" s="152">
        <f>+IF(OR($Q55=Parametres!$G$2,$Q55=Parametres!$G$3),J55,D55)</f>
        <v>0</v>
      </c>
      <c r="P55" s="152">
        <f>+IF(OR($Q55=Parametres!$G$2,$Q55=Parametres!$G$3),K55,E55)</f>
        <v>0.41</v>
      </c>
      <c r="Q55" s="151" t="str">
        <f t="shared" si="5"/>
        <v>1-Mémo</v>
      </c>
      <c r="R55" s="150" t="str">
        <f t="shared" si="5"/>
        <v>42</v>
      </c>
      <c r="S55" s="151">
        <f t="shared" si="5"/>
        <v>0</v>
      </c>
      <c r="T55" s="153">
        <f>+VLOOKUP($L55,Data_Validation!$A:$D,1,0)</f>
        <v>427</v>
      </c>
      <c r="U55" s="153">
        <f>+VLOOKUP($L55,Data_Validation!$A:$D,3,0)</f>
        <v>0</v>
      </c>
      <c r="V55" s="153">
        <f>+VLOOKUP($L55,Data_Validation!$A:$D,4,0)</f>
        <v>0</v>
      </c>
      <c r="W55" s="153">
        <f>+VLOOKUP($L55,Data_Validation!$A:$E,5,0)</f>
        <v>0</v>
      </c>
      <c r="X55" s="153">
        <f>+VLOOKUP($L55,Data_Validation!$A:$F,6,0)</f>
        <v>0</v>
      </c>
    </row>
    <row r="56" spans="1:24" ht="15.75" customHeight="1">
      <c r="A56" s="1430" t="s">
        <v>2310</v>
      </c>
      <c r="B56" s="1431">
        <v>428</v>
      </c>
      <c r="C56" s="1432"/>
      <c r="D56" s="1432"/>
      <c r="E56" s="1432"/>
      <c r="F56" s="1430" t="s">
        <v>1</v>
      </c>
      <c r="G56" s="1430" t="s">
        <v>2297</v>
      </c>
      <c r="H56" s="1432"/>
      <c r="I56" s="1433">
        <v>0.39</v>
      </c>
      <c r="J56" s="1433">
        <v>0</v>
      </c>
      <c r="K56" s="1433">
        <v>0.39</v>
      </c>
      <c r="L56" s="150">
        <f t="shared" si="0"/>
        <v>428</v>
      </c>
      <c r="M56" s="151" t="str">
        <f t="shared" si="1"/>
        <v>UNITES USAGES DET./ AOUT</v>
      </c>
      <c r="N56" s="152">
        <f>+IF(OR($Q56=Parametres!$G$2,$Q56=Parametres!$G$3),I56,C56)</f>
        <v>0.39</v>
      </c>
      <c r="O56" s="569">
        <f>+IF(OR($Q56=Parametres!$G$2,$Q56=Parametres!$G$3),J56,D56)</f>
        <v>0</v>
      </c>
      <c r="P56" s="152">
        <f>+IF(OR($Q56=Parametres!$G$2,$Q56=Parametres!$G$3),K56,E56)</f>
        <v>0.39</v>
      </c>
      <c r="Q56" s="151" t="str">
        <f t="shared" si="5"/>
        <v>1-Mémo</v>
      </c>
      <c r="R56" s="150" t="str">
        <f t="shared" si="5"/>
        <v>42</v>
      </c>
      <c r="S56" s="151">
        <f t="shared" si="5"/>
        <v>0</v>
      </c>
      <c r="T56" s="153">
        <f>+VLOOKUP($L56,Data_Validation!$A:$D,1,0)</f>
        <v>428</v>
      </c>
      <c r="U56" s="153">
        <f>+VLOOKUP($L56,Data_Validation!$A:$D,3,0)</f>
        <v>0</v>
      </c>
      <c r="V56" s="153">
        <f>+VLOOKUP($L56,Data_Validation!$A:$D,4,0)</f>
        <v>0</v>
      </c>
      <c r="W56" s="153">
        <f>+VLOOKUP($L56,Data_Validation!$A:$E,5,0)</f>
        <v>0</v>
      </c>
      <c r="X56" s="153">
        <f>+VLOOKUP($L56,Data_Validation!$A:$F,6,0)</f>
        <v>0</v>
      </c>
    </row>
    <row r="57" spans="1:24" ht="15" customHeight="1">
      <c r="A57" s="1430" t="s">
        <v>2312</v>
      </c>
      <c r="B57" s="1431">
        <v>429</v>
      </c>
      <c r="C57" s="1432"/>
      <c r="D57" s="1432"/>
      <c r="E57" s="1432"/>
      <c r="F57" s="1430" t="s">
        <v>1</v>
      </c>
      <c r="G57" s="1430" t="s">
        <v>2297</v>
      </c>
      <c r="H57" s="1432"/>
      <c r="I57" s="1433">
        <v>0.38</v>
      </c>
      <c r="J57" s="1433">
        <v>0</v>
      </c>
      <c r="K57" s="1433">
        <v>0.38</v>
      </c>
      <c r="L57" s="150">
        <f t="shared" si="0"/>
        <v>429</v>
      </c>
      <c r="M57" s="151" t="str">
        <f t="shared" si="1"/>
        <v>UNITES USAGES DET./ SEPT.</v>
      </c>
      <c r="N57" s="152">
        <f>+IF(OR($Q57=Parametres!$G$2,$Q57=Parametres!$G$3),I57,C57)</f>
        <v>0.38</v>
      </c>
      <c r="O57" s="152">
        <f>+IF(OR($Q57=Parametres!$G$2,$Q57=Parametres!$G$3),J57,D57)</f>
        <v>0</v>
      </c>
      <c r="P57" s="152">
        <f>+IF(OR($Q57=Parametres!$G$2,$Q57=Parametres!$G$3),K57,E57)</f>
        <v>0.38</v>
      </c>
      <c r="Q57" s="151" t="str">
        <f t="shared" si="5"/>
        <v>1-Mémo</v>
      </c>
      <c r="R57" s="150" t="str">
        <f t="shared" si="5"/>
        <v>42</v>
      </c>
      <c r="S57" s="151">
        <f t="shared" si="5"/>
        <v>0</v>
      </c>
      <c r="T57" s="153">
        <f>+VLOOKUP($L57,Data_Validation!$A:$D,1,0)</f>
        <v>429</v>
      </c>
      <c r="U57" s="153">
        <f>+VLOOKUP($L57,Data_Validation!$A:$D,3,0)</f>
        <v>0</v>
      </c>
      <c r="V57" s="153">
        <f>+VLOOKUP($L57,Data_Validation!$A:$D,4,0)</f>
        <v>0</v>
      </c>
      <c r="W57" s="153">
        <f>+VLOOKUP($L57,Data_Validation!$A:$E,5,0)</f>
        <v>0</v>
      </c>
      <c r="X57" s="153">
        <f>+VLOOKUP($L57,Data_Validation!$A:$F,6,0)</f>
        <v>0</v>
      </c>
    </row>
    <row r="58" spans="1:24" ht="15" customHeight="1">
      <c r="A58" s="1430" t="s">
        <v>2314</v>
      </c>
      <c r="B58" s="1431">
        <v>430</v>
      </c>
      <c r="C58" s="1432"/>
      <c r="D58" s="1432"/>
      <c r="E58" s="1432"/>
      <c r="F58" s="1430" t="s">
        <v>1</v>
      </c>
      <c r="G58" s="1430" t="s">
        <v>2297</v>
      </c>
      <c r="H58" s="1432"/>
      <c r="I58" s="1433">
        <v>0.34</v>
      </c>
      <c r="J58" s="1433">
        <v>0</v>
      </c>
      <c r="K58" s="1433">
        <v>0.34</v>
      </c>
      <c r="L58" s="150">
        <f t="shared" si="0"/>
        <v>430</v>
      </c>
      <c r="M58" s="151" t="str">
        <f t="shared" si="1"/>
        <v>UNITES USAGES DET./ OCT.</v>
      </c>
      <c r="N58" s="152">
        <f>+IF(OR($Q58=Parametres!$G$2,$Q58=Parametres!$G$3),I58,C58)</f>
        <v>0.34</v>
      </c>
      <c r="O58" s="152">
        <f>+IF(OR($Q58=Parametres!$G$2,$Q58=Parametres!$G$3),J58,D58)</f>
        <v>0</v>
      </c>
      <c r="P58" s="152">
        <f>+IF(OR($Q58=Parametres!$G$2,$Q58=Parametres!$G$3),K58,E58)</f>
        <v>0.34</v>
      </c>
      <c r="Q58" s="151" t="str">
        <f t="shared" si="5"/>
        <v>1-Mémo</v>
      </c>
      <c r="R58" s="150" t="str">
        <f t="shared" si="5"/>
        <v>42</v>
      </c>
      <c r="S58" s="151">
        <f t="shared" si="5"/>
        <v>0</v>
      </c>
      <c r="T58" s="153">
        <f>+VLOOKUP($L58,Data_Validation!$A:$D,1,0)</f>
        <v>430</v>
      </c>
      <c r="U58" s="153">
        <f>+VLOOKUP($L58,Data_Validation!$A:$D,3,0)</f>
        <v>0</v>
      </c>
      <c r="V58" s="153">
        <f>+VLOOKUP($L58,Data_Validation!$A:$D,4,0)</f>
        <v>0</v>
      </c>
      <c r="W58" s="153">
        <f>+VLOOKUP($L58,Data_Validation!$A:$E,5,0)</f>
        <v>0</v>
      </c>
      <c r="X58" s="153">
        <f>+VLOOKUP($L58,Data_Validation!$A:$F,6,0)</f>
        <v>0</v>
      </c>
    </row>
    <row r="59" spans="1:24" ht="15" customHeight="1">
      <c r="A59" s="1430" t="s">
        <v>2316</v>
      </c>
      <c r="B59" s="1431">
        <v>431</v>
      </c>
      <c r="C59" s="1432"/>
      <c r="D59" s="1432"/>
      <c r="E59" s="1432"/>
      <c r="F59" s="1430" t="s">
        <v>1</v>
      </c>
      <c r="G59" s="1430" t="s">
        <v>2297</v>
      </c>
      <c r="H59" s="1432"/>
      <c r="I59" s="1433">
        <v>0</v>
      </c>
      <c r="J59" s="1433">
        <v>0.36</v>
      </c>
      <c r="K59" s="1433">
        <v>0.36</v>
      </c>
      <c r="L59" s="150">
        <f t="shared" si="0"/>
        <v>431</v>
      </c>
      <c r="M59" s="151" t="str">
        <f t="shared" si="1"/>
        <v>UNITES USAGES DET./ NOV.</v>
      </c>
      <c r="N59" s="152">
        <f>+IF(OR($Q59=Parametres!$G$2,$Q59=Parametres!$G$3),I59,C59)</f>
        <v>0</v>
      </c>
      <c r="O59" s="152">
        <f>+IF(OR($Q59=Parametres!$G$2,$Q59=Parametres!$G$3),J59,D59)</f>
        <v>0.36</v>
      </c>
      <c r="P59" s="152">
        <f>+IF(OR($Q59=Parametres!$G$2,$Q59=Parametres!$G$3),K59,E59)</f>
        <v>0.36</v>
      </c>
      <c r="Q59" s="151" t="str">
        <f t="shared" si="5"/>
        <v>1-Mémo</v>
      </c>
      <c r="R59" s="150" t="str">
        <f t="shared" si="5"/>
        <v>42</v>
      </c>
      <c r="S59" s="151">
        <f t="shared" si="5"/>
        <v>0</v>
      </c>
      <c r="T59" s="153">
        <f>+VLOOKUP($L59,Data_Validation!$A:$D,1,0)</f>
        <v>431</v>
      </c>
      <c r="U59" s="153">
        <f>+VLOOKUP($L59,Data_Validation!$A:$D,3,0)</f>
        <v>0</v>
      </c>
      <c r="V59" s="153">
        <f>+VLOOKUP($L59,Data_Validation!$A:$D,4,0)</f>
        <v>0</v>
      </c>
      <c r="W59" s="153">
        <f>+VLOOKUP($L59,Data_Validation!$A:$E,5,0)</f>
        <v>0</v>
      </c>
      <c r="X59" s="153">
        <f>+VLOOKUP($L59,Data_Validation!$A:$F,6,0)</f>
        <v>0</v>
      </c>
    </row>
    <row r="60" spans="1:24" ht="15" customHeight="1">
      <c r="A60" s="1430" t="s">
        <v>2318</v>
      </c>
      <c r="B60" s="1431">
        <v>500</v>
      </c>
      <c r="C60" s="1432"/>
      <c r="D60" s="1432"/>
      <c r="E60" s="1432"/>
      <c r="F60" s="1430" t="s">
        <v>1</v>
      </c>
      <c r="G60" s="1430" t="s">
        <v>2208</v>
      </c>
      <c r="H60" s="1432"/>
      <c r="I60" s="1433">
        <v>1</v>
      </c>
      <c r="J60" s="1433">
        <v>0</v>
      </c>
      <c r="K60" s="1433">
        <v>1</v>
      </c>
      <c r="L60" s="150">
        <f t="shared" si="0"/>
        <v>500</v>
      </c>
      <c r="M60" s="151" t="str">
        <f t="shared" si="1"/>
        <v>PROPRIETAIRES</v>
      </c>
      <c r="N60" s="152">
        <f>+IF(OR($Q60=Parametres!$G$2,$Q60=Parametres!$G$3),I60,C60)</f>
        <v>1</v>
      </c>
      <c r="O60" s="569">
        <f>+IF(OR($Q60=Parametres!$G$2,$Q60=Parametres!$G$3),J60,D60)</f>
        <v>0</v>
      </c>
      <c r="P60" s="152">
        <f>+IF(OR($Q60=Parametres!$G$2,$Q60=Parametres!$G$3),K60,E60)</f>
        <v>1</v>
      </c>
      <c r="Q60" s="151" t="str">
        <f t="shared" si="5"/>
        <v>1-Mémo</v>
      </c>
      <c r="R60" s="150" t="str">
        <f t="shared" si="5"/>
        <v>50</v>
      </c>
      <c r="S60" s="151">
        <f t="shared" si="5"/>
        <v>0</v>
      </c>
      <c r="T60" s="153">
        <f>+VLOOKUP($L60,Data_Validation!$A:$D,1,0)</f>
        <v>500</v>
      </c>
      <c r="U60" s="153">
        <f>+VLOOKUP($L60,Data_Validation!$A:$D,3,0)</f>
        <v>0</v>
      </c>
      <c r="V60" s="153">
        <f>+VLOOKUP($L60,Data_Validation!$A:$D,4,0)</f>
        <v>0</v>
      </c>
      <c r="W60" s="153" t="str">
        <f>+VLOOKUP($L60,Data_Validation!$A:$E,5,0)</f>
        <v>$</v>
      </c>
      <c r="X60" s="153">
        <f>+VLOOKUP($L60,Data_Validation!$A:$F,6,0)</f>
        <v>0</v>
      </c>
    </row>
    <row r="61" spans="1:24" ht="15" customHeight="1">
      <c r="A61" s="1430" t="s">
        <v>2320</v>
      </c>
      <c r="B61" s="1431">
        <v>511</v>
      </c>
      <c r="C61" s="1432"/>
      <c r="D61" s="1432"/>
      <c r="E61" s="1432"/>
      <c r="F61" s="1430" t="s">
        <v>1</v>
      </c>
      <c r="G61" s="1430" t="s">
        <v>2208</v>
      </c>
      <c r="H61" s="1432"/>
      <c r="I61" s="1433">
        <v>0.2</v>
      </c>
      <c r="J61" s="1433">
        <v>0</v>
      </c>
      <c r="K61" s="1433">
        <v>0.2</v>
      </c>
      <c r="L61" s="150">
        <f t="shared" si="0"/>
        <v>511</v>
      </c>
      <c r="M61" s="151" t="str">
        <f t="shared" si="1"/>
        <v>DIR. GENERAL NEUFS</v>
      </c>
      <c r="N61" s="152">
        <f>+IF(OR($Q61=Parametres!$G$2,$Q61=Parametres!$G$3),I61,C61)</f>
        <v>0.2</v>
      </c>
      <c r="O61" s="569">
        <f>+IF(OR($Q61=Parametres!$G$2,$Q61=Parametres!$G$3),J61,D61)</f>
        <v>0</v>
      </c>
      <c r="P61" s="152">
        <f>+IF(OR($Q61=Parametres!$G$2,$Q61=Parametres!$G$3),K61,E61)</f>
        <v>0.2</v>
      </c>
      <c r="Q61" s="151" t="str">
        <f t="shared" si="5"/>
        <v>1-Mémo</v>
      </c>
      <c r="R61" s="150" t="str">
        <f t="shared" si="5"/>
        <v>50</v>
      </c>
      <c r="S61" s="151">
        <f t="shared" si="5"/>
        <v>0</v>
      </c>
      <c r="T61" s="153">
        <f>+VLOOKUP($L61,Data_Validation!$A:$D,1,0)</f>
        <v>511</v>
      </c>
      <c r="U61" s="153">
        <f>+VLOOKUP($L61,Data_Validation!$A:$D,3,0)</f>
        <v>0</v>
      </c>
      <c r="V61" s="153">
        <f>+VLOOKUP($L61,Data_Validation!$A:$D,4,0)</f>
        <v>0</v>
      </c>
      <c r="W61" s="153" t="str">
        <f>+VLOOKUP($L61,Data_Validation!$A:$E,5,0)</f>
        <v>$</v>
      </c>
      <c r="X61" s="153">
        <f>+VLOOKUP($L61,Data_Validation!$A:$F,6,0)</f>
        <v>0</v>
      </c>
    </row>
    <row r="62" spans="1:24" ht="15" customHeight="1">
      <c r="A62" s="1430" t="s">
        <v>2321</v>
      </c>
      <c r="B62" s="1431">
        <v>512</v>
      </c>
      <c r="C62" s="1432"/>
      <c r="D62" s="1432"/>
      <c r="E62" s="1432"/>
      <c r="F62" s="1430" t="s">
        <v>1</v>
      </c>
      <c r="G62" s="1430" t="s">
        <v>2208</v>
      </c>
      <c r="H62" s="1432"/>
      <c r="I62" s="1433">
        <v>0.2</v>
      </c>
      <c r="J62" s="1433">
        <v>0</v>
      </c>
      <c r="K62" s="1433">
        <v>0.2</v>
      </c>
      <c r="L62" s="150">
        <f t="shared" si="0"/>
        <v>512</v>
      </c>
      <c r="M62" s="151" t="str">
        <f t="shared" si="1"/>
        <v>DIR. GENERAL USAGES</v>
      </c>
      <c r="N62" s="152">
        <f>+IF(OR($Q62=Parametres!$G$2,$Q62=Parametres!$G$3),I62,C62)</f>
        <v>0.2</v>
      </c>
      <c r="O62" s="152">
        <f>+IF(OR($Q62=Parametres!$G$2,$Q62=Parametres!$G$3),J62,D62)</f>
        <v>0</v>
      </c>
      <c r="P62" s="152">
        <f>+IF(OR($Q62=Parametres!$G$2,$Q62=Parametres!$G$3),K62,E62)</f>
        <v>0.2</v>
      </c>
      <c r="Q62" s="151" t="str">
        <f t="shared" si="5"/>
        <v>1-Mémo</v>
      </c>
      <c r="R62" s="150" t="str">
        <f t="shared" si="5"/>
        <v>50</v>
      </c>
      <c r="S62" s="151">
        <f t="shared" si="5"/>
        <v>0</v>
      </c>
      <c r="T62" s="153">
        <f>+VLOOKUP($L62,Data_Validation!$A:$D,1,0)</f>
        <v>512</v>
      </c>
      <c r="U62" s="153">
        <f>+VLOOKUP($L62,Data_Validation!$A:$D,3,0)</f>
        <v>0</v>
      </c>
      <c r="V62" s="153">
        <f>+VLOOKUP($L62,Data_Validation!$A:$D,4,0)</f>
        <v>0</v>
      </c>
      <c r="W62" s="153" t="str">
        <f>+VLOOKUP($L62,Data_Validation!$A:$E,5,0)</f>
        <v>$</v>
      </c>
      <c r="X62" s="153">
        <f>+VLOOKUP($L62,Data_Validation!$A:$F,6,0)</f>
        <v>0</v>
      </c>
    </row>
    <row r="63" spans="1:24" ht="15" customHeight="1">
      <c r="A63" s="1430" t="s">
        <v>2322</v>
      </c>
      <c r="B63" s="1431">
        <v>514</v>
      </c>
      <c r="C63" s="1432"/>
      <c r="D63" s="1432"/>
      <c r="E63" s="1432"/>
      <c r="F63" s="1430" t="s">
        <v>1</v>
      </c>
      <c r="G63" s="1430" t="s">
        <v>2208</v>
      </c>
      <c r="H63" s="1432"/>
      <c r="I63" s="1433">
        <v>0.2</v>
      </c>
      <c r="J63" s="1433">
        <v>0</v>
      </c>
      <c r="K63" s="1433">
        <v>0.2</v>
      </c>
      <c r="L63" s="150">
        <f t="shared" si="0"/>
        <v>514</v>
      </c>
      <c r="M63" s="151" t="str">
        <f t="shared" si="1"/>
        <v>DIR. GENERAL SERVICE</v>
      </c>
      <c r="N63" s="152">
        <f>+IF(OR($Q63=Parametres!$G$2,$Q63=Parametres!$G$3),I63,C63)</f>
        <v>0.2</v>
      </c>
      <c r="O63" s="152">
        <f>+IF(OR($Q63=Parametres!$G$2,$Q63=Parametres!$G$3),J63,D63)</f>
        <v>0</v>
      </c>
      <c r="P63" s="152">
        <f>+IF(OR($Q63=Parametres!$G$2,$Q63=Parametres!$G$3),K63,E63)</f>
        <v>0.2</v>
      </c>
      <c r="Q63" s="151" t="str">
        <f t="shared" si="5"/>
        <v>1-Mémo</v>
      </c>
      <c r="R63" s="150" t="str">
        <f t="shared" si="5"/>
        <v>50</v>
      </c>
      <c r="S63" s="151">
        <f t="shared" si="5"/>
        <v>0</v>
      </c>
      <c r="T63" s="153">
        <f>+VLOOKUP($L63,Data_Validation!$A:$D,1,0)</f>
        <v>514</v>
      </c>
      <c r="U63" s="153">
        <f>+VLOOKUP($L63,Data_Validation!$A:$D,3,0)</f>
        <v>0</v>
      </c>
      <c r="V63" s="153">
        <f>+VLOOKUP($L63,Data_Validation!$A:$D,4,0)</f>
        <v>0</v>
      </c>
      <c r="W63" s="153" t="str">
        <f>+VLOOKUP($L63,Data_Validation!$A:$E,5,0)</f>
        <v>$</v>
      </c>
      <c r="X63" s="153">
        <f>+VLOOKUP($L63,Data_Validation!$A:$F,6,0)</f>
        <v>0</v>
      </c>
    </row>
    <row r="64" spans="1:24" ht="15" customHeight="1">
      <c r="A64" s="1430" t="s">
        <v>2324</v>
      </c>
      <c r="B64" s="1431">
        <v>515</v>
      </c>
      <c r="C64" s="1432"/>
      <c r="D64" s="1432"/>
      <c r="E64" s="1432"/>
      <c r="F64" s="1430" t="s">
        <v>1</v>
      </c>
      <c r="G64" s="1430" t="s">
        <v>2208</v>
      </c>
      <c r="H64" s="1432"/>
      <c r="I64" s="1433">
        <v>0.2</v>
      </c>
      <c r="J64" s="1433">
        <v>0</v>
      </c>
      <c r="K64" s="1433">
        <v>0.2</v>
      </c>
      <c r="L64" s="150">
        <f t="shared" si="0"/>
        <v>515</v>
      </c>
      <c r="M64" s="151" t="str">
        <f t="shared" si="1"/>
        <v>DIR. GENERAL CARROSS.</v>
      </c>
      <c r="N64" s="152">
        <f>+IF(OR($Q64=Parametres!$G$2,$Q64=Parametres!$G$3),I64,C64)</f>
        <v>0.2</v>
      </c>
      <c r="O64" s="152">
        <f>+IF(OR($Q64=Parametres!$G$2,$Q64=Parametres!$G$3),J64,D64)</f>
        <v>0</v>
      </c>
      <c r="P64" s="152">
        <f>+IF(OR($Q64=Parametres!$G$2,$Q64=Parametres!$G$3),K64,E64)</f>
        <v>0.2</v>
      </c>
      <c r="Q64" s="151" t="str">
        <f t="shared" si="5"/>
        <v>1-Mémo</v>
      </c>
      <c r="R64" s="150" t="str">
        <f t="shared" si="5"/>
        <v>50</v>
      </c>
      <c r="S64" s="151">
        <f t="shared" si="5"/>
        <v>0</v>
      </c>
      <c r="T64" s="153">
        <f>+VLOOKUP($L64,Data_Validation!$A:$D,1,0)</f>
        <v>515</v>
      </c>
      <c r="U64" s="153">
        <f>+VLOOKUP($L64,Data_Validation!$A:$D,3,0)</f>
        <v>0</v>
      </c>
      <c r="V64" s="153">
        <f>+VLOOKUP($L64,Data_Validation!$A:$D,4,0)</f>
        <v>0</v>
      </c>
      <c r="W64" s="153" t="str">
        <f>+VLOOKUP($L64,Data_Validation!$A:$E,5,0)</f>
        <v>$</v>
      </c>
      <c r="X64" s="153">
        <f>+VLOOKUP($L64,Data_Validation!$A:$F,6,0)</f>
        <v>0</v>
      </c>
    </row>
    <row r="65" spans="1:24" ht="15" customHeight="1">
      <c r="A65" s="1430" t="s">
        <v>2326</v>
      </c>
      <c r="B65" s="1431">
        <v>517</v>
      </c>
      <c r="C65" s="1432"/>
      <c r="D65" s="1432"/>
      <c r="E65" s="1432"/>
      <c r="F65" s="1430" t="s">
        <v>1</v>
      </c>
      <c r="G65" s="1430" t="s">
        <v>2208</v>
      </c>
      <c r="H65" s="1432"/>
      <c r="I65" s="1433">
        <v>0.2</v>
      </c>
      <c r="J65" s="1433">
        <v>0</v>
      </c>
      <c r="K65" s="1433">
        <v>0.2</v>
      </c>
      <c r="L65" s="150">
        <f t="shared" si="0"/>
        <v>517</v>
      </c>
      <c r="M65" s="151" t="str">
        <f t="shared" si="1"/>
        <v>DIR. GENERAL PIECES</v>
      </c>
      <c r="N65" s="152">
        <f>+IF(OR($Q65=Parametres!$G$2,$Q65=Parametres!$G$3),I65,C65)</f>
        <v>0.2</v>
      </c>
      <c r="O65" s="571">
        <f>+IF(OR($Q65=Parametres!$G$2,$Q65=Parametres!$G$3),J65,D65)</f>
        <v>0</v>
      </c>
      <c r="P65" s="152">
        <f>+IF(OR($Q65=Parametres!$G$2,$Q65=Parametres!$G$3),K65,E65)</f>
        <v>0.2</v>
      </c>
      <c r="Q65" s="151" t="str">
        <f t="shared" si="5"/>
        <v>1-Mémo</v>
      </c>
      <c r="R65" s="150" t="str">
        <f t="shared" si="5"/>
        <v>50</v>
      </c>
      <c r="S65" s="151">
        <f t="shared" si="5"/>
        <v>0</v>
      </c>
      <c r="T65" s="153">
        <f>+VLOOKUP($L65,Data_Validation!$A:$D,1,0)</f>
        <v>517</v>
      </c>
      <c r="U65" s="153">
        <f>+VLOOKUP($L65,Data_Validation!$A:$D,3,0)</f>
        <v>0</v>
      </c>
      <c r="V65" s="153">
        <f>+VLOOKUP($L65,Data_Validation!$A:$D,4,0)</f>
        <v>0</v>
      </c>
      <c r="W65" s="153" t="str">
        <f>+VLOOKUP($L65,Data_Validation!$A:$E,5,0)</f>
        <v>$</v>
      </c>
      <c r="X65" s="153">
        <f>+VLOOKUP($L65,Data_Validation!$A:$F,6,0)</f>
        <v>0</v>
      </c>
    </row>
    <row r="66" spans="1:24" ht="15" customHeight="1">
      <c r="A66" s="1430" t="s">
        <v>2328</v>
      </c>
      <c r="B66" s="1431">
        <v>521</v>
      </c>
      <c r="C66" s="1432"/>
      <c r="D66" s="1432"/>
      <c r="E66" s="1432"/>
      <c r="F66" s="1430" t="s">
        <v>1</v>
      </c>
      <c r="G66" s="1430" t="s">
        <v>2208</v>
      </c>
      <c r="H66" s="1432"/>
      <c r="I66" s="1433">
        <v>2</v>
      </c>
      <c r="J66" s="1433">
        <v>0</v>
      </c>
      <c r="K66" s="1433">
        <v>2</v>
      </c>
      <c r="L66" s="150">
        <f t="shared" si="0"/>
        <v>521</v>
      </c>
      <c r="M66" s="151" t="str">
        <f t="shared" si="1"/>
        <v>DIR. SERVICE NEUFS</v>
      </c>
      <c r="N66" s="152">
        <f>+IF(OR($Q66=Parametres!$G$2,$Q66=Parametres!$G$3),I66,C66)</f>
        <v>2</v>
      </c>
      <c r="O66" s="152">
        <f>+IF(OR($Q66=Parametres!$G$2,$Q66=Parametres!$G$3),J66,D66)</f>
        <v>0</v>
      </c>
      <c r="P66" s="152">
        <f>+IF(OR($Q66=Parametres!$G$2,$Q66=Parametres!$G$3),K66,E66)</f>
        <v>2</v>
      </c>
      <c r="Q66" s="151" t="str">
        <f t="shared" ref="Q66:S81" si="6">+F66</f>
        <v>1-Mémo</v>
      </c>
      <c r="R66" s="150" t="str">
        <f t="shared" si="6"/>
        <v>50</v>
      </c>
      <c r="S66" s="151">
        <f t="shared" si="6"/>
        <v>0</v>
      </c>
      <c r="T66" s="153">
        <f>+VLOOKUP($L66,Data_Validation!$A:$D,1,0)</f>
        <v>521</v>
      </c>
      <c r="U66" s="153">
        <f>+VLOOKUP($L66,Data_Validation!$A:$D,3,0)</f>
        <v>0</v>
      </c>
      <c r="V66" s="153">
        <f>+VLOOKUP($L66,Data_Validation!$A:$D,4,0)</f>
        <v>0</v>
      </c>
      <c r="W66" s="153" t="str">
        <f>+VLOOKUP($L66,Data_Validation!$A:$E,5,0)</f>
        <v>$</v>
      </c>
      <c r="X66" s="153">
        <f>+VLOOKUP($L66,Data_Validation!$A:$F,6,0)</f>
        <v>0</v>
      </c>
    </row>
    <row r="67" spans="1:24" ht="15" customHeight="1">
      <c r="A67" s="1430" t="s">
        <v>2330</v>
      </c>
      <c r="B67" s="1431">
        <v>522</v>
      </c>
      <c r="C67" s="1432"/>
      <c r="D67" s="1432"/>
      <c r="E67" s="1432"/>
      <c r="F67" s="1430" t="s">
        <v>1</v>
      </c>
      <c r="G67" s="1430" t="s">
        <v>2208</v>
      </c>
      <c r="H67" s="1432"/>
      <c r="I67" s="1433">
        <v>1</v>
      </c>
      <c r="J67" s="1433">
        <v>0</v>
      </c>
      <c r="K67" s="1433">
        <v>1</v>
      </c>
      <c r="L67" s="150">
        <f t="shared" si="0"/>
        <v>522</v>
      </c>
      <c r="M67" s="151" t="str">
        <f t="shared" si="1"/>
        <v>DIR. SERVICE USAGES</v>
      </c>
      <c r="N67" s="152">
        <f>+IF(OR($Q67=Parametres!$G$2,$Q67=Parametres!$G$3),I67,C67)</f>
        <v>1</v>
      </c>
      <c r="O67" s="569">
        <f>+IF(OR($Q67=Parametres!$G$2,$Q67=Parametres!$G$3),J67,D67)</f>
        <v>0</v>
      </c>
      <c r="P67" s="152">
        <f>+IF(OR($Q67=Parametres!$G$2,$Q67=Parametres!$G$3),K67,E67)</f>
        <v>1</v>
      </c>
      <c r="Q67" s="151" t="str">
        <f t="shared" si="6"/>
        <v>1-Mémo</v>
      </c>
      <c r="R67" s="150" t="str">
        <f t="shared" si="6"/>
        <v>50</v>
      </c>
      <c r="S67" s="151">
        <f t="shared" si="6"/>
        <v>0</v>
      </c>
      <c r="T67" s="153">
        <f>+VLOOKUP($L67,Data_Validation!$A:$D,1,0)</f>
        <v>522</v>
      </c>
      <c r="U67" s="153">
        <f>+VLOOKUP($L67,Data_Validation!$A:$D,3,0)</f>
        <v>0</v>
      </c>
      <c r="V67" s="153">
        <f>+VLOOKUP($L67,Data_Validation!$A:$D,4,0)</f>
        <v>0</v>
      </c>
      <c r="W67" s="153" t="str">
        <f>+VLOOKUP($L67,Data_Validation!$A:$E,5,0)</f>
        <v>$</v>
      </c>
      <c r="X67" s="153">
        <f>+VLOOKUP($L67,Data_Validation!$A:$F,6,0)</f>
        <v>0</v>
      </c>
    </row>
    <row r="68" spans="1:24" ht="15" customHeight="1">
      <c r="A68" s="1430" t="s">
        <v>2332</v>
      </c>
      <c r="B68" s="1431">
        <v>524</v>
      </c>
      <c r="C68" s="1432"/>
      <c r="D68" s="1432"/>
      <c r="E68" s="1432"/>
      <c r="F68" s="1430" t="s">
        <v>1</v>
      </c>
      <c r="G68" s="1430" t="s">
        <v>2208</v>
      </c>
      <c r="H68" s="1432"/>
      <c r="I68" s="1433">
        <v>2</v>
      </c>
      <c r="J68" s="1433">
        <v>0</v>
      </c>
      <c r="K68" s="1433">
        <v>2</v>
      </c>
      <c r="L68" s="150">
        <f t="shared" si="0"/>
        <v>524</v>
      </c>
      <c r="M68" s="151" t="str">
        <f t="shared" si="1"/>
        <v>DIR. SERVICE SERVICE</v>
      </c>
      <c r="N68" s="152">
        <f>+IF(OR($Q68=Parametres!$G$2,$Q68=Parametres!$G$3),I68,C68)</f>
        <v>2</v>
      </c>
      <c r="O68" s="152">
        <f>+IF(OR($Q68=Parametres!$G$2,$Q68=Parametres!$G$3),J68,D68)</f>
        <v>0</v>
      </c>
      <c r="P68" s="152">
        <f>+IF(OR($Q68=Parametres!$G$2,$Q68=Parametres!$G$3),K68,E68)</f>
        <v>2</v>
      </c>
      <c r="Q68" s="151" t="str">
        <f t="shared" si="6"/>
        <v>1-Mémo</v>
      </c>
      <c r="R68" s="150" t="str">
        <f t="shared" si="6"/>
        <v>50</v>
      </c>
      <c r="S68" s="151">
        <f t="shared" si="6"/>
        <v>0</v>
      </c>
      <c r="T68" s="153">
        <f>+VLOOKUP($L68,Data_Validation!$A:$D,1,0)</f>
        <v>524</v>
      </c>
      <c r="U68" s="153">
        <f>+VLOOKUP($L68,Data_Validation!$A:$D,3,0)</f>
        <v>0</v>
      </c>
      <c r="V68" s="153">
        <f>+VLOOKUP($L68,Data_Validation!$A:$D,4,0)</f>
        <v>0</v>
      </c>
      <c r="W68" s="153" t="str">
        <f>+VLOOKUP($L68,Data_Validation!$A:$E,5,0)</f>
        <v>$</v>
      </c>
      <c r="X68" s="153">
        <f>+VLOOKUP($L68,Data_Validation!$A:$F,6,0)</f>
        <v>0</v>
      </c>
    </row>
    <row r="69" spans="1:24" ht="15" customHeight="1">
      <c r="A69" s="1430" t="s">
        <v>2334</v>
      </c>
      <c r="B69" s="1431">
        <v>527</v>
      </c>
      <c r="C69" s="1432"/>
      <c r="D69" s="1432"/>
      <c r="E69" s="1432"/>
      <c r="F69" s="1430" t="s">
        <v>1</v>
      </c>
      <c r="G69" s="1430" t="s">
        <v>2208</v>
      </c>
      <c r="H69" s="1432"/>
      <c r="I69" s="1433">
        <v>1</v>
      </c>
      <c r="J69" s="1433">
        <v>0</v>
      </c>
      <c r="K69" s="1433">
        <v>1</v>
      </c>
      <c r="L69" s="150">
        <f t="shared" si="0"/>
        <v>527</v>
      </c>
      <c r="M69" s="151" t="str">
        <f t="shared" si="1"/>
        <v>DIR. SERVICE PIECES</v>
      </c>
      <c r="N69" s="152">
        <f>+IF(OR($Q69=Parametres!$G$2,$Q69=Parametres!$G$3),I69,C69)</f>
        <v>1</v>
      </c>
      <c r="O69" s="152">
        <f>+IF(OR($Q69=Parametres!$G$2,$Q69=Parametres!$G$3),J69,D69)</f>
        <v>0</v>
      </c>
      <c r="P69" s="152">
        <f>+IF(OR($Q69=Parametres!$G$2,$Q69=Parametres!$G$3),K69,E69)</f>
        <v>1</v>
      </c>
      <c r="Q69" s="151" t="str">
        <f t="shared" si="6"/>
        <v>1-Mémo</v>
      </c>
      <c r="R69" s="150" t="str">
        <f t="shared" si="6"/>
        <v>50</v>
      </c>
      <c r="S69" s="151">
        <f t="shared" si="6"/>
        <v>0</v>
      </c>
      <c r="T69" s="153">
        <f>+VLOOKUP($L69,Data_Validation!$A:$D,1,0)</f>
        <v>527</v>
      </c>
      <c r="U69" s="153">
        <f>+VLOOKUP($L69,Data_Validation!$A:$D,3,0)</f>
        <v>0</v>
      </c>
      <c r="V69" s="153">
        <f>+VLOOKUP($L69,Data_Validation!$A:$D,4,0)</f>
        <v>0</v>
      </c>
      <c r="W69" s="153" t="str">
        <f>+VLOOKUP($L69,Data_Validation!$A:$E,5,0)</f>
        <v>$</v>
      </c>
      <c r="X69" s="153">
        <f>+VLOOKUP($L69,Data_Validation!$A:$F,6,0)</f>
        <v>0</v>
      </c>
    </row>
    <row r="70" spans="1:24" ht="15" customHeight="1">
      <c r="A70" s="1430" t="s">
        <v>2336</v>
      </c>
      <c r="B70" s="1431">
        <v>541</v>
      </c>
      <c r="C70" s="1432"/>
      <c r="D70" s="1432"/>
      <c r="E70" s="1432"/>
      <c r="F70" s="1430" t="s">
        <v>1</v>
      </c>
      <c r="G70" s="1430" t="s">
        <v>2338</v>
      </c>
      <c r="H70" s="1432"/>
      <c r="I70" s="1433">
        <v>4</v>
      </c>
      <c r="J70" s="1433">
        <v>0</v>
      </c>
      <c r="K70" s="1433">
        <v>4</v>
      </c>
      <c r="L70" s="150">
        <f t="shared" si="0"/>
        <v>541</v>
      </c>
      <c r="M70" s="151" t="str">
        <f t="shared" si="1"/>
        <v>VW REP. DES VENTES - NEUF</v>
      </c>
      <c r="N70" s="152">
        <f>+IF(OR($Q70=Parametres!$G$2,$Q70=Parametres!$G$3),I70,C70)</f>
        <v>4</v>
      </c>
      <c r="O70" s="152">
        <f>+IF(OR($Q70=Parametres!$G$2,$Q70=Parametres!$G$3),J70,D70)</f>
        <v>0</v>
      </c>
      <c r="P70" s="152">
        <f>+IF(OR($Q70=Parametres!$G$2,$Q70=Parametres!$G$3),K70,E70)</f>
        <v>4</v>
      </c>
      <c r="Q70" s="151" t="str">
        <f t="shared" si="6"/>
        <v>1-Mémo</v>
      </c>
      <c r="R70" s="150" t="str">
        <f t="shared" si="6"/>
        <v>54</v>
      </c>
      <c r="S70" s="151">
        <f t="shared" si="6"/>
        <v>0</v>
      </c>
      <c r="T70" s="153">
        <f>+VLOOKUP($L70,Data_Validation!$A:$D,1,0)</f>
        <v>541</v>
      </c>
      <c r="U70" s="153">
        <f>+VLOOKUP($L70,Data_Validation!$A:$D,3,0)</f>
        <v>0</v>
      </c>
      <c r="V70" s="153">
        <f>+VLOOKUP($L70,Data_Validation!$A:$D,4,0)</f>
        <v>0</v>
      </c>
      <c r="W70" s="153" t="str">
        <f>+VLOOKUP($L70,Data_Validation!$A:$E,5,0)</f>
        <v>$</v>
      </c>
      <c r="X70" s="153">
        <f>+VLOOKUP($L70,Data_Validation!$A:$F,6,0)</f>
        <v>0</v>
      </c>
    </row>
    <row r="71" spans="1:24" ht="15" customHeight="1">
      <c r="A71" s="1430" t="s">
        <v>2339</v>
      </c>
      <c r="B71" s="1431">
        <v>542</v>
      </c>
      <c r="C71" s="1432"/>
      <c r="D71" s="1432"/>
      <c r="E71" s="1432"/>
      <c r="F71" s="1430" t="s">
        <v>1</v>
      </c>
      <c r="G71" s="1430" t="s">
        <v>2208</v>
      </c>
      <c r="H71" s="1432"/>
      <c r="I71" s="1433">
        <v>1</v>
      </c>
      <c r="J71" s="1433">
        <v>0</v>
      </c>
      <c r="K71" s="1433">
        <v>1</v>
      </c>
      <c r="L71" s="150">
        <f t="shared" si="0"/>
        <v>542</v>
      </c>
      <c r="M71" s="151" t="str">
        <f t="shared" si="1"/>
        <v>VW REP. DES VENTES - OCC.</v>
      </c>
      <c r="N71" s="152">
        <f>+IF(OR($Q71=Parametres!$G$2,$Q71=Parametres!$G$3),I71,C71)</f>
        <v>1</v>
      </c>
      <c r="O71" s="569">
        <f>+IF(OR($Q71=Parametres!$G$2,$Q71=Parametres!$G$3),J71,D71)</f>
        <v>0</v>
      </c>
      <c r="P71" s="152">
        <f>+IF(OR($Q71=Parametres!$G$2,$Q71=Parametres!$G$3),K71,E71)</f>
        <v>1</v>
      </c>
      <c r="Q71" s="151" t="str">
        <f t="shared" si="6"/>
        <v>1-Mémo</v>
      </c>
      <c r="R71" s="150" t="str">
        <f t="shared" si="6"/>
        <v>50</v>
      </c>
      <c r="S71" s="151">
        <f t="shared" si="6"/>
        <v>0</v>
      </c>
      <c r="T71" s="153">
        <f>+VLOOKUP($L71,Data_Validation!$A:$D,1,0)</f>
        <v>542</v>
      </c>
      <c r="U71" s="153">
        <f>+VLOOKUP($L71,Data_Validation!$A:$D,3,0)</f>
        <v>0</v>
      </c>
      <c r="V71" s="153">
        <f>+VLOOKUP($L71,Data_Validation!$A:$D,4,0)</f>
        <v>0</v>
      </c>
      <c r="W71" s="153" t="str">
        <f>+VLOOKUP($L71,Data_Validation!$A:$E,5,0)</f>
        <v>$</v>
      </c>
      <c r="X71" s="153">
        <f>+VLOOKUP($L71,Data_Validation!$A:$F,6,0)</f>
        <v>0</v>
      </c>
    </row>
    <row r="72" spans="1:24" ht="15" customHeight="1">
      <c r="A72" s="1430" t="s">
        <v>2341</v>
      </c>
      <c r="B72" s="1431">
        <v>551</v>
      </c>
      <c r="C72" s="1432"/>
      <c r="D72" s="1432"/>
      <c r="E72" s="1432"/>
      <c r="F72" s="1430" t="s">
        <v>1</v>
      </c>
      <c r="G72" s="1430" t="s">
        <v>2208</v>
      </c>
      <c r="H72" s="1432"/>
      <c r="I72" s="1433">
        <v>3</v>
      </c>
      <c r="J72" s="1433">
        <v>0</v>
      </c>
      <c r="K72" s="1433">
        <v>3</v>
      </c>
      <c r="L72" s="150">
        <f t="shared" si="0"/>
        <v>551</v>
      </c>
      <c r="M72" s="151" t="str">
        <f t="shared" si="1"/>
        <v>DIR. COMMERCIAL NEUFS</v>
      </c>
      <c r="N72" s="152">
        <f>+IF(OR($Q72=Parametres!$G$2,$Q72=Parametres!$G$3),I72,C72)</f>
        <v>3</v>
      </c>
      <c r="O72" s="152">
        <f>+IF(OR($Q72=Parametres!$G$2,$Q72=Parametres!$G$3),J72,D72)</f>
        <v>0</v>
      </c>
      <c r="P72" s="152">
        <f>+IF(OR($Q72=Parametres!$G$2,$Q72=Parametres!$G$3),K72,E72)</f>
        <v>3</v>
      </c>
      <c r="Q72" s="151" t="str">
        <f t="shared" si="6"/>
        <v>1-Mémo</v>
      </c>
      <c r="R72" s="150" t="str">
        <f t="shared" si="6"/>
        <v>50</v>
      </c>
      <c r="S72" s="151">
        <f t="shared" si="6"/>
        <v>0</v>
      </c>
      <c r="T72" s="153">
        <f>+VLOOKUP($L72,Data_Validation!$A:$D,1,0)</f>
        <v>551</v>
      </c>
      <c r="U72" s="153">
        <f>+VLOOKUP($L72,Data_Validation!$A:$D,3,0)</f>
        <v>0</v>
      </c>
      <c r="V72" s="153">
        <f>+VLOOKUP($L72,Data_Validation!$A:$D,4,0)</f>
        <v>0</v>
      </c>
      <c r="W72" s="153" t="str">
        <f>+VLOOKUP($L72,Data_Validation!$A:$E,5,0)</f>
        <v>$</v>
      </c>
      <c r="X72" s="153">
        <f>+VLOOKUP($L72,Data_Validation!$A:$F,6,0)</f>
        <v>0</v>
      </c>
    </row>
    <row r="73" spans="1:24" ht="15" customHeight="1">
      <c r="A73" s="1430" t="s">
        <v>2343</v>
      </c>
      <c r="B73" s="1431">
        <v>552</v>
      </c>
      <c r="C73" s="1432"/>
      <c r="D73" s="1432"/>
      <c r="E73" s="1432"/>
      <c r="F73" s="1430" t="s">
        <v>1</v>
      </c>
      <c r="G73" s="1430" t="s">
        <v>2208</v>
      </c>
      <c r="H73" s="1432"/>
      <c r="I73" s="1433">
        <v>2</v>
      </c>
      <c r="J73" s="1433">
        <v>0</v>
      </c>
      <c r="K73" s="1433">
        <v>2</v>
      </c>
      <c r="L73" s="150">
        <f t="shared" si="0"/>
        <v>552</v>
      </c>
      <c r="M73" s="151" t="str">
        <f t="shared" si="1"/>
        <v>DIR. COMMERCIAL USAGES</v>
      </c>
      <c r="N73" s="152">
        <f>+IF(OR($Q73=Parametres!$G$2,$Q73=Parametres!$G$3),I73,C73)</f>
        <v>2</v>
      </c>
      <c r="O73" s="152">
        <f>+IF(OR($Q73=Parametres!$G$2,$Q73=Parametres!$G$3),J73,D73)</f>
        <v>0</v>
      </c>
      <c r="P73" s="152">
        <f>+IF(OR($Q73=Parametres!$G$2,$Q73=Parametres!$G$3),K73,E73)</f>
        <v>2</v>
      </c>
      <c r="Q73" s="151" t="str">
        <f t="shared" si="6"/>
        <v>1-Mémo</v>
      </c>
      <c r="R73" s="150" t="str">
        <f t="shared" si="6"/>
        <v>50</v>
      </c>
      <c r="S73" s="151">
        <f t="shared" si="6"/>
        <v>0</v>
      </c>
      <c r="T73" s="153">
        <f>+VLOOKUP($L73,Data_Validation!$A:$D,1,0)</f>
        <v>552</v>
      </c>
      <c r="U73" s="153">
        <f>+VLOOKUP($L73,Data_Validation!$A:$D,3,0)</f>
        <v>0</v>
      </c>
      <c r="V73" s="153">
        <f>+VLOOKUP($L73,Data_Validation!$A:$D,4,0)</f>
        <v>0</v>
      </c>
      <c r="W73" s="153" t="str">
        <f>+VLOOKUP($L73,Data_Validation!$A:$E,5,0)</f>
        <v>$</v>
      </c>
      <c r="X73" s="153">
        <f>+VLOOKUP($L73,Data_Validation!$A:$F,6,0)</f>
        <v>0</v>
      </c>
    </row>
    <row r="74" spans="1:24" ht="15" customHeight="1">
      <c r="A74" s="1430" t="s">
        <v>2855</v>
      </c>
      <c r="B74" s="1431">
        <v>564</v>
      </c>
      <c r="C74" s="1432"/>
      <c r="D74" s="1432"/>
      <c r="E74" s="1432"/>
      <c r="F74" s="1430" t="s">
        <v>1</v>
      </c>
      <c r="G74" s="1430" t="s">
        <v>2208</v>
      </c>
      <c r="H74" s="1432"/>
      <c r="I74" s="1433">
        <v>1</v>
      </c>
      <c r="J74" s="1433">
        <v>0</v>
      </c>
      <c r="K74" s="1433">
        <v>1</v>
      </c>
      <c r="L74" s="150">
        <f t="shared" si="0"/>
        <v>564</v>
      </c>
      <c r="M74" s="151" t="str">
        <f t="shared" si="1"/>
        <v>CONTREMAITRE SERVICE</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564</v>
      </c>
      <c r="U74" s="153">
        <f>+VLOOKUP($L74,Data_Validation!$A:$D,3,0)</f>
        <v>0</v>
      </c>
      <c r="V74" s="153">
        <f>+VLOOKUP($L74,Data_Validation!$A:$D,4,0)</f>
        <v>0</v>
      </c>
      <c r="W74" s="153" t="str">
        <f>+VLOOKUP($L74,Data_Validation!$A:$E,5,0)</f>
        <v>$</v>
      </c>
      <c r="X74" s="153">
        <f>+VLOOKUP($L74,Data_Validation!$A:$F,6,0)</f>
        <v>0</v>
      </c>
    </row>
    <row r="75" spans="1:24" ht="15" customHeight="1">
      <c r="A75" s="1430" t="s">
        <v>2345</v>
      </c>
      <c r="B75" s="1431">
        <v>614</v>
      </c>
      <c r="C75" s="1432"/>
      <c r="D75" s="1432"/>
      <c r="E75" s="1432"/>
      <c r="F75" s="1430" t="s">
        <v>1</v>
      </c>
      <c r="G75" s="1430" t="s">
        <v>2347</v>
      </c>
      <c r="H75" s="1432"/>
      <c r="I75" s="1433">
        <v>4</v>
      </c>
      <c r="J75" s="1433">
        <v>0</v>
      </c>
      <c r="K75" s="1433">
        <v>4</v>
      </c>
      <c r="L75" s="150">
        <f t="shared" si="0"/>
        <v>614</v>
      </c>
      <c r="M75" s="151" t="str">
        <f t="shared" si="1"/>
        <v>VW CONSEILLERS SERVICE -SERVICE</v>
      </c>
      <c r="N75" s="152">
        <f>+IF(OR($Q75=Parametres!$G$2,$Q75=Parametres!$G$3),I75,C75)</f>
        <v>4</v>
      </c>
      <c r="O75" s="152">
        <f>+IF(OR($Q75=Parametres!$G$2,$Q75=Parametres!$G$3),J75,D75)</f>
        <v>0</v>
      </c>
      <c r="P75" s="152">
        <f>+IF(OR($Q75=Parametres!$G$2,$Q75=Parametres!$G$3),K75,E75)</f>
        <v>4</v>
      </c>
      <c r="Q75" s="151" t="str">
        <f t="shared" si="6"/>
        <v>1-Mémo</v>
      </c>
      <c r="R75" s="150" t="str">
        <f t="shared" si="6"/>
        <v>61</v>
      </c>
      <c r="S75" s="151">
        <f t="shared" si="6"/>
        <v>0</v>
      </c>
      <c r="T75" s="153">
        <f>+VLOOKUP($L75,Data_Validation!$A:$D,1,0)</f>
        <v>614</v>
      </c>
      <c r="U75" s="153">
        <f>+VLOOKUP($L75,Data_Validation!$A:$D,3,0)</f>
        <v>0</v>
      </c>
      <c r="V75" s="153">
        <f>+VLOOKUP($L75,Data_Validation!$A:$D,4,0)</f>
        <v>0</v>
      </c>
      <c r="W75" s="153" t="str">
        <f>+VLOOKUP($L75,Data_Validation!$A:$E,5,0)</f>
        <v>$</v>
      </c>
      <c r="X75" s="153">
        <f>+VLOOKUP($L75,Data_Validation!$A:$F,6,0)</f>
        <v>0</v>
      </c>
    </row>
    <row r="76" spans="1:24" ht="15" customHeight="1">
      <c r="A76" s="1430" t="s">
        <v>2348</v>
      </c>
      <c r="B76" s="1431">
        <v>615</v>
      </c>
      <c r="C76" s="1432"/>
      <c r="D76" s="1432"/>
      <c r="E76" s="1432"/>
      <c r="F76" s="1430" t="s">
        <v>1</v>
      </c>
      <c r="G76" s="1430" t="s">
        <v>2347</v>
      </c>
      <c r="H76" s="1432"/>
      <c r="I76" s="1433">
        <v>1</v>
      </c>
      <c r="J76" s="1433">
        <v>0</v>
      </c>
      <c r="K76" s="1433">
        <v>1</v>
      </c>
      <c r="L76" s="150">
        <f t="shared" si="0"/>
        <v>615</v>
      </c>
      <c r="M76" s="151" t="str">
        <f t="shared" si="1"/>
        <v>VW CONSEILLERS SERVICE - PIEC. &amp; CARR.&lt;</v>
      </c>
      <c r="N76" s="152">
        <f>+IF(OR($Q76=Parametres!$G$2,$Q76=Parametres!$G$3),I76,C76)</f>
        <v>1</v>
      </c>
      <c r="O76" s="152">
        <f>+IF(OR($Q76=Parametres!$G$2,$Q76=Parametres!$G$3),J76,D76)</f>
        <v>0</v>
      </c>
      <c r="P76" s="152">
        <f>+IF(OR($Q76=Parametres!$G$2,$Q76=Parametres!$G$3),K76,E76)</f>
        <v>1</v>
      </c>
      <c r="Q76" s="151" t="str">
        <f t="shared" si="6"/>
        <v>1-Mémo</v>
      </c>
      <c r="R76" s="150" t="str">
        <f t="shared" si="6"/>
        <v>61</v>
      </c>
      <c r="S76" s="151">
        <f t="shared" si="6"/>
        <v>0</v>
      </c>
      <c r="T76" s="153">
        <f>+VLOOKUP($L76,Data_Validation!$A:$D,1,0)</f>
        <v>615</v>
      </c>
      <c r="U76" s="153">
        <f>+VLOOKUP($L76,Data_Validation!$A:$D,3,0)</f>
        <v>0</v>
      </c>
      <c r="V76" s="153">
        <f>+VLOOKUP($L76,Data_Validation!$A:$D,4,0)</f>
        <v>0</v>
      </c>
      <c r="W76" s="153" t="str">
        <f>+VLOOKUP($L76,Data_Validation!$A:$E,5,0)</f>
        <v>$</v>
      </c>
      <c r="X76" s="153">
        <f>+VLOOKUP($L76,Data_Validation!$A:$F,6,0)</f>
        <v>0</v>
      </c>
    </row>
    <row r="77" spans="1:24" ht="15" customHeight="1">
      <c r="A77" s="1430" t="s">
        <v>2350</v>
      </c>
      <c r="B77" s="1431">
        <v>621</v>
      </c>
      <c r="C77" s="1432"/>
      <c r="D77" s="1432"/>
      <c r="E77" s="1432"/>
      <c r="F77" s="1430" t="s">
        <v>1</v>
      </c>
      <c r="G77" s="1430" t="s">
        <v>2208</v>
      </c>
      <c r="H77" s="1432"/>
      <c r="I77" s="1433">
        <v>1</v>
      </c>
      <c r="J77" s="1433">
        <v>0</v>
      </c>
      <c r="K77" s="1433">
        <v>1</v>
      </c>
      <c r="L77" s="150">
        <f t="shared" si="0"/>
        <v>621</v>
      </c>
      <c r="M77" s="151" t="str">
        <f t="shared" si="1"/>
        <v>LAVEURS NEUFS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621</v>
      </c>
      <c r="U77" s="153">
        <f>+VLOOKUP($L77,Data_Validation!$A:$D,3,0)</f>
        <v>0</v>
      </c>
      <c r="V77" s="153">
        <f>+VLOOKUP($L77,Data_Validation!$A:$D,4,0)</f>
        <v>0</v>
      </c>
      <c r="W77" s="153" t="str">
        <f>+VLOOKUP($L77,Data_Validation!$A:$E,5,0)</f>
        <v>$</v>
      </c>
      <c r="X77" s="153">
        <f>+VLOOKUP($L77,Data_Validation!$A:$F,6,0)</f>
        <v>0</v>
      </c>
    </row>
    <row r="78" spans="1:24" ht="15" customHeight="1">
      <c r="A78" s="1430" t="s">
        <v>2352</v>
      </c>
      <c r="B78" s="1431">
        <v>622</v>
      </c>
      <c r="C78" s="1432"/>
      <c r="D78" s="1432"/>
      <c r="E78" s="1432"/>
      <c r="F78" s="1430" t="s">
        <v>1</v>
      </c>
      <c r="G78" s="1430" t="s">
        <v>2208</v>
      </c>
      <c r="H78" s="1432"/>
      <c r="I78" s="1433">
        <v>1</v>
      </c>
      <c r="J78" s="1433">
        <v>0</v>
      </c>
      <c r="K78" s="1433">
        <v>1</v>
      </c>
      <c r="L78" s="150">
        <f t="shared" si="0"/>
        <v>622</v>
      </c>
      <c r="M78" s="151" t="str">
        <f t="shared" si="1"/>
        <v>LAVEURS USAGES</v>
      </c>
      <c r="N78" s="152">
        <f>+IF(OR($Q78=Parametres!$G$2,$Q78=Parametres!$G$3),I78,C78)</f>
        <v>1</v>
      </c>
      <c r="O78" s="569">
        <f>+IF(OR($Q78=Parametres!$G$2,$Q78=Parametres!$G$3),J78,D78)</f>
        <v>0</v>
      </c>
      <c r="P78" s="152">
        <f>+IF(OR($Q78=Parametres!$G$2,$Q78=Parametres!$G$3),K78,E78)</f>
        <v>1</v>
      </c>
      <c r="Q78" s="151" t="str">
        <f t="shared" si="6"/>
        <v>1-Mémo</v>
      </c>
      <c r="R78" s="150" t="str">
        <f t="shared" si="6"/>
        <v>50</v>
      </c>
      <c r="S78" s="151">
        <f t="shared" si="6"/>
        <v>0</v>
      </c>
      <c r="T78" s="153">
        <f>+VLOOKUP($L78,Data_Validation!$A:$D,1,0)</f>
        <v>622</v>
      </c>
      <c r="U78" s="153">
        <f>+VLOOKUP($L78,Data_Validation!$A:$D,3,0)</f>
        <v>0</v>
      </c>
      <c r="V78" s="153">
        <f>+VLOOKUP($L78,Data_Validation!$A:$D,4,0)</f>
        <v>0</v>
      </c>
      <c r="W78" s="153" t="str">
        <f>+VLOOKUP($L78,Data_Validation!$A:$E,5,0)</f>
        <v>$</v>
      </c>
      <c r="X78" s="153">
        <f>+VLOOKUP($L78,Data_Validation!$A:$F,6,0)</f>
        <v>0</v>
      </c>
    </row>
    <row r="79" spans="1:24" ht="15" customHeight="1">
      <c r="A79" s="1430" t="s">
        <v>2354</v>
      </c>
      <c r="B79" s="1431">
        <v>624</v>
      </c>
      <c r="C79" s="1432"/>
      <c r="D79" s="1432"/>
      <c r="E79" s="1432"/>
      <c r="F79" s="1430" t="s">
        <v>1</v>
      </c>
      <c r="G79" s="1430" t="s">
        <v>2208</v>
      </c>
      <c r="H79" s="1432"/>
      <c r="I79" s="1433">
        <v>9</v>
      </c>
      <c r="J79" s="1433">
        <v>0</v>
      </c>
      <c r="K79" s="1433">
        <v>9</v>
      </c>
      <c r="L79" s="150">
        <f t="shared" si="0"/>
        <v>624</v>
      </c>
      <c r="M79" s="151" t="str">
        <f t="shared" si="1"/>
        <v>LAVEURS SERVICE</v>
      </c>
      <c r="N79" s="152">
        <f>+IF(OR($Q79=Parametres!$G$2,$Q79=Parametres!$G$3),I79,C79)</f>
        <v>9</v>
      </c>
      <c r="O79" s="152">
        <f>+IF(OR($Q79=Parametres!$G$2,$Q79=Parametres!$G$3),J79,D79)</f>
        <v>0</v>
      </c>
      <c r="P79" s="152">
        <f>+IF(OR($Q79=Parametres!$G$2,$Q79=Parametres!$G$3),K79,E79)</f>
        <v>9</v>
      </c>
      <c r="Q79" s="151" t="str">
        <f t="shared" si="6"/>
        <v>1-Mémo</v>
      </c>
      <c r="R79" s="150" t="str">
        <f t="shared" si="6"/>
        <v>50</v>
      </c>
      <c r="S79" s="151">
        <f t="shared" si="6"/>
        <v>0</v>
      </c>
      <c r="T79" s="153">
        <f>+VLOOKUP($L79,Data_Validation!$A:$D,1,0)</f>
        <v>624</v>
      </c>
      <c r="U79" s="153">
        <f>+VLOOKUP($L79,Data_Validation!$A:$D,3,0)</f>
        <v>0</v>
      </c>
      <c r="V79" s="153">
        <f>+VLOOKUP($L79,Data_Validation!$A:$D,4,0)</f>
        <v>0</v>
      </c>
      <c r="W79" s="153" t="str">
        <f>+VLOOKUP($L79,Data_Validation!$A:$E,5,0)</f>
        <v>$</v>
      </c>
      <c r="X79" s="153">
        <f>+VLOOKUP($L79,Data_Validation!$A:$F,6,0)</f>
        <v>0</v>
      </c>
    </row>
    <row r="80" spans="1:24" ht="15.75" customHeight="1">
      <c r="A80" s="1430" t="s">
        <v>2356</v>
      </c>
      <c r="B80" s="1431">
        <v>644</v>
      </c>
      <c r="C80" s="1432"/>
      <c r="D80" s="1432"/>
      <c r="E80" s="1432"/>
      <c r="F80" s="1430" t="s">
        <v>1</v>
      </c>
      <c r="G80" s="1430" t="s">
        <v>2358</v>
      </c>
      <c r="H80" s="1432"/>
      <c r="I80" s="1433">
        <v>12</v>
      </c>
      <c r="J80" s="1433">
        <v>0</v>
      </c>
      <c r="K80" s="1433">
        <v>12</v>
      </c>
      <c r="L80" s="150">
        <f t="shared" si="0"/>
        <v>644</v>
      </c>
      <c r="M80" s="151" t="str">
        <f t="shared" si="1"/>
        <v>VW TECHNICIENS - SERVICE</v>
      </c>
      <c r="N80" s="152">
        <f>+IF(OR($Q80=Parametres!$G$2,$Q80=Parametres!$G$3),I80,C80)</f>
        <v>12</v>
      </c>
      <c r="O80" s="152">
        <f>+IF(OR($Q80=Parametres!$G$2,$Q80=Parametres!$G$3),J80,D80)</f>
        <v>0</v>
      </c>
      <c r="P80" s="152">
        <f>+IF(OR($Q80=Parametres!$G$2,$Q80=Parametres!$G$3),K80,E80)</f>
        <v>12</v>
      </c>
      <c r="Q80" s="151" t="str">
        <f t="shared" si="6"/>
        <v>1-Mémo</v>
      </c>
      <c r="R80" s="150" t="str">
        <f t="shared" si="6"/>
        <v>64</v>
      </c>
      <c r="S80" s="151">
        <f t="shared" si="6"/>
        <v>0</v>
      </c>
      <c r="T80" s="153">
        <f>+VLOOKUP($L80,Data_Validation!$A:$D,1,0)</f>
        <v>644</v>
      </c>
      <c r="U80" s="153">
        <f>+VLOOKUP($L80,Data_Validation!$A:$D,3,0)</f>
        <v>0</v>
      </c>
      <c r="V80" s="153">
        <f>+VLOOKUP($L80,Data_Validation!$A:$D,4,0)</f>
        <v>0</v>
      </c>
      <c r="W80" s="153" t="str">
        <f>+VLOOKUP($L80,Data_Validation!$A:$E,5,0)</f>
        <v>$</v>
      </c>
      <c r="X80" s="153">
        <f>+VLOOKUP($L80,Data_Validation!$A:$F,6,0)</f>
        <v>0</v>
      </c>
    </row>
    <row r="81" spans="1:24" ht="15" customHeight="1">
      <c r="A81" s="1430" t="s">
        <v>2359</v>
      </c>
      <c r="B81" s="1431">
        <v>651</v>
      </c>
      <c r="C81" s="1432"/>
      <c r="D81" s="1432"/>
      <c r="E81" s="1432"/>
      <c r="F81" s="1430" t="s">
        <v>1</v>
      </c>
      <c r="G81" s="1430" t="s">
        <v>2208</v>
      </c>
      <c r="H81" s="1432"/>
      <c r="I81" s="1433">
        <v>0.2</v>
      </c>
      <c r="J81" s="1433">
        <v>0</v>
      </c>
      <c r="K81" s="1433">
        <v>0.2</v>
      </c>
      <c r="L81" s="150">
        <f t="shared" si="0"/>
        <v>651</v>
      </c>
      <c r="M81" s="151" t="str">
        <f t="shared" si="1"/>
        <v>DIR. ADMINIS. NEUFS</v>
      </c>
      <c r="N81" s="152">
        <f>+IF(OR($Q81=Parametres!$G$2,$Q81=Parametres!$G$3),I81,C81)</f>
        <v>0.2</v>
      </c>
      <c r="O81" s="152">
        <f>+IF(OR($Q81=Parametres!$G$2,$Q81=Parametres!$G$3),J81,D81)</f>
        <v>0</v>
      </c>
      <c r="P81" s="152">
        <f>+IF(OR($Q81=Parametres!$G$2,$Q81=Parametres!$G$3),K81,E81)</f>
        <v>0.2</v>
      </c>
      <c r="Q81" s="151" t="str">
        <f t="shared" si="6"/>
        <v>1-Mémo</v>
      </c>
      <c r="R81" s="150" t="str">
        <f t="shared" si="6"/>
        <v>50</v>
      </c>
      <c r="S81" s="151">
        <f t="shared" si="6"/>
        <v>0</v>
      </c>
      <c r="T81" s="153">
        <f>+VLOOKUP($L81,Data_Validation!$A:$D,1,0)</f>
        <v>651</v>
      </c>
      <c r="U81" s="153">
        <f>+VLOOKUP($L81,Data_Validation!$A:$D,3,0)</f>
        <v>0</v>
      </c>
      <c r="V81" s="153">
        <f>+VLOOKUP($L81,Data_Validation!$A:$D,4,0)</f>
        <v>0</v>
      </c>
      <c r="W81" s="153" t="str">
        <f>+VLOOKUP($L81,Data_Validation!$A:$E,5,0)</f>
        <v>$</v>
      </c>
      <c r="X81" s="153">
        <f>+VLOOKUP($L81,Data_Validation!$A:$F,6,0)</f>
        <v>0</v>
      </c>
    </row>
    <row r="82" spans="1:24" ht="15" customHeight="1">
      <c r="A82" s="1430" t="s">
        <v>2361</v>
      </c>
      <c r="B82" s="1431">
        <v>652</v>
      </c>
      <c r="C82" s="1432"/>
      <c r="D82" s="1432"/>
      <c r="E82" s="1432"/>
      <c r="F82" s="1430" t="s">
        <v>1</v>
      </c>
      <c r="G82" s="1430" t="s">
        <v>2208</v>
      </c>
      <c r="H82" s="1432"/>
      <c r="I82" s="1433">
        <v>0.2</v>
      </c>
      <c r="J82" s="1433">
        <v>0</v>
      </c>
      <c r="K82" s="1433">
        <v>0.2</v>
      </c>
      <c r="L82" s="150">
        <f t="shared" si="0"/>
        <v>652</v>
      </c>
      <c r="M82" s="151" t="str">
        <f t="shared" si="1"/>
        <v>DIR. ADMINIS. USAGES</v>
      </c>
      <c r="N82" s="152">
        <f>+IF(OR($Q82=Parametres!$G$2,$Q82=Parametres!$G$3),I82,C82)</f>
        <v>0.2</v>
      </c>
      <c r="O82" s="152">
        <f>+IF(OR($Q82=Parametres!$G$2,$Q82=Parametres!$G$3),J82,D82)</f>
        <v>0</v>
      </c>
      <c r="P82" s="152">
        <f>+IF(OR($Q82=Parametres!$G$2,$Q82=Parametres!$G$3),K82,E82)</f>
        <v>0.2</v>
      </c>
      <c r="Q82" s="151" t="str">
        <f t="shared" ref="Q82:S97" si="7">+F82</f>
        <v>1-Mémo</v>
      </c>
      <c r="R82" s="150" t="str">
        <f t="shared" si="7"/>
        <v>50</v>
      </c>
      <c r="S82" s="151">
        <f t="shared" si="7"/>
        <v>0</v>
      </c>
      <c r="T82" s="153">
        <f>+VLOOKUP($L82,Data_Validation!$A:$D,1,0)</f>
        <v>652</v>
      </c>
      <c r="U82" s="153">
        <f>+VLOOKUP($L82,Data_Validation!$A:$D,3,0)</f>
        <v>0</v>
      </c>
      <c r="V82" s="153">
        <f>+VLOOKUP($L82,Data_Validation!$A:$D,4,0)</f>
        <v>0</v>
      </c>
      <c r="W82" s="153" t="str">
        <f>+VLOOKUP($L82,Data_Validation!$A:$E,5,0)</f>
        <v>$</v>
      </c>
      <c r="X82" s="153">
        <f>+VLOOKUP($L82,Data_Validation!$A:$F,6,0)</f>
        <v>0</v>
      </c>
    </row>
    <row r="83" spans="1:24" ht="15" customHeight="1">
      <c r="A83" s="1430" t="s">
        <v>2363</v>
      </c>
      <c r="B83" s="1431">
        <v>654</v>
      </c>
      <c r="C83" s="1432"/>
      <c r="D83" s="1432"/>
      <c r="E83" s="1432"/>
      <c r="F83" s="1430" t="s">
        <v>1</v>
      </c>
      <c r="G83" s="1430" t="s">
        <v>2208</v>
      </c>
      <c r="H83" s="1432"/>
      <c r="I83" s="1433">
        <v>0.2</v>
      </c>
      <c r="J83" s="1433">
        <v>0</v>
      </c>
      <c r="K83" s="1433">
        <v>0.2</v>
      </c>
      <c r="L83" s="150">
        <f t="shared" si="0"/>
        <v>654</v>
      </c>
      <c r="M83" s="151" t="str">
        <f t="shared" si="1"/>
        <v>DIR. ADMINIS. SERVICE</v>
      </c>
      <c r="N83" s="152">
        <f>+IF(OR($Q83=Parametres!$G$2,$Q83=Parametres!$G$3),I83,C83)</f>
        <v>0.2</v>
      </c>
      <c r="O83" s="152">
        <f>+IF(OR($Q83=Parametres!$G$2,$Q83=Parametres!$G$3),J83,D83)</f>
        <v>0</v>
      </c>
      <c r="P83" s="152">
        <f>+IF(OR($Q83=Parametres!$G$2,$Q83=Parametres!$G$3),K83,E83)</f>
        <v>0.2</v>
      </c>
      <c r="Q83" s="151" t="str">
        <f t="shared" si="7"/>
        <v>1-Mémo</v>
      </c>
      <c r="R83" s="150" t="str">
        <f t="shared" si="7"/>
        <v>50</v>
      </c>
      <c r="S83" s="151">
        <f t="shared" si="7"/>
        <v>0</v>
      </c>
      <c r="T83" s="153">
        <f>+VLOOKUP($L83,Data_Validation!$A:$D,1,0)</f>
        <v>654</v>
      </c>
      <c r="U83" s="153">
        <f>+VLOOKUP($L83,Data_Validation!$A:$D,3,0)</f>
        <v>0</v>
      </c>
      <c r="V83" s="153">
        <f>+VLOOKUP($L83,Data_Validation!$A:$D,4,0)</f>
        <v>0</v>
      </c>
      <c r="W83" s="153" t="str">
        <f>+VLOOKUP($L83,Data_Validation!$A:$E,5,0)</f>
        <v>$</v>
      </c>
      <c r="X83" s="153">
        <f>+VLOOKUP($L83,Data_Validation!$A:$F,6,0)</f>
        <v>0</v>
      </c>
    </row>
    <row r="84" spans="1:24" ht="15.75" customHeight="1">
      <c r="A84" s="1430" t="s">
        <v>2365</v>
      </c>
      <c r="B84" s="1431">
        <v>655</v>
      </c>
      <c r="C84" s="1432"/>
      <c r="D84" s="1432"/>
      <c r="E84" s="1432"/>
      <c r="F84" s="1430" t="s">
        <v>1</v>
      </c>
      <c r="G84" s="1430" t="s">
        <v>2208</v>
      </c>
      <c r="H84" s="1432"/>
      <c r="I84" s="1433">
        <v>0.2</v>
      </c>
      <c r="J84" s="1433">
        <v>0</v>
      </c>
      <c r="K84" s="1433">
        <v>0.2</v>
      </c>
      <c r="L84" s="150">
        <f t="shared" si="0"/>
        <v>655</v>
      </c>
      <c r="M84" s="151" t="str">
        <f t="shared" si="1"/>
        <v>DIR. ADMINIS. CARROSS.</v>
      </c>
      <c r="N84" s="152">
        <f>+IF(OR($Q84=Parametres!$G$2,$Q84=Parametres!$G$3),I84,C84)</f>
        <v>0.2</v>
      </c>
      <c r="O84" s="569">
        <f>+IF(OR($Q84=Parametres!$G$2,$Q84=Parametres!$G$3),J84,D84)</f>
        <v>0</v>
      </c>
      <c r="P84" s="152">
        <f>+IF(OR($Q84=Parametres!$G$2,$Q84=Parametres!$G$3),K84,E84)</f>
        <v>0.2</v>
      </c>
      <c r="Q84" s="151" t="str">
        <f t="shared" si="7"/>
        <v>1-Mémo</v>
      </c>
      <c r="R84" s="150" t="str">
        <f t="shared" si="7"/>
        <v>50</v>
      </c>
      <c r="S84" s="151">
        <f t="shared" si="7"/>
        <v>0</v>
      </c>
      <c r="T84" s="153">
        <f>+VLOOKUP($L84,Data_Validation!$A:$D,1,0)</f>
        <v>655</v>
      </c>
      <c r="U84" s="153">
        <f>+VLOOKUP($L84,Data_Validation!$A:$D,3,0)</f>
        <v>0</v>
      </c>
      <c r="V84" s="153">
        <f>+VLOOKUP($L84,Data_Validation!$A:$D,4,0)</f>
        <v>0</v>
      </c>
      <c r="W84" s="153" t="str">
        <f>+VLOOKUP($L84,Data_Validation!$A:$E,5,0)</f>
        <v>$</v>
      </c>
      <c r="X84" s="153">
        <f>+VLOOKUP($L84,Data_Validation!$A:$F,6,0)</f>
        <v>0</v>
      </c>
    </row>
    <row r="85" spans="1:24" ht="15" customHeight="1">
      <c r="A85" s="1430" t="s">
        <v>2367</v>
      </c>
      <c r="B85" s="1431">
        <v>657</v>
      </c>
      <c r="C85" s="1432"/>
      <c r="D85" s="1432"/>
      <c r="E85" s="1432"/>
      <c r="F85" s="1430" t="s">
        <v>1</v>
      </c>
      <c r="G85" s="1430" t="s">
        <v>2208</v>
      </c>
      <c r="H85" s="1432"/>
      <c r="I85" s="1433">
        <v>0.2</v>
      </c>
      <c r="J85" s="1433">
        <v>0</v>
      </c>
      <c r="K85" s="1433">
        <v>0.2</v>
      </c>
      <c r="L85" s="150">
        <f t="shared" si="0"/>
        <v>657</v>
      </c>
      <c r="M85" s="151" t="str">
        <f t="shared" si="1"/>
        <v>DIR. ADMINIS. PIECES</v>
      </c>
      <c r="N85" s="152">
        <f>+IF(OR($Q85=Parametres!$G$2,$Q85=Parametres!$G$3),I85,C85)</f>
        <v>0.2</v>
      </c>
      <c r="O85" s="569">
        <f>+IF(OR($Q85=Parametres!$G$2,$Q85=Parametres!$G$3),J85,D85)</f>
        <v>0</v>
      </c>
      <c r="P85" s="152">
        <f>+IF(OR($Q85=Parametres!$G$2,$Q85=Parametres!$G$3),K85,E85)</f>
        <v>0.2</v>
      </c>
      <c r="Q85" s="151" t="str">
        <f t="shared" si="7"/>
        <v>1-Mémo</v>
      </c>
      <c r="R85" s="150" t="str">
        <f t="shared" si="7"/>
        <v>50</v>
      </c>
      <c r="S85" s="151">
        <f t="shared" si="7"/>
        <v>0</v>
      </c>
      <c r="T85" s="153">
        <f>+VLOOKUP($L85,Data_Validation!$A:$D,1,0)</f>
        <v>657</v>
      </c>
      <c r="U85" s="153">
        <f>+VLOOKUP($L85,Data_Validation!$A:$D,3,0)</f>
        <v>0</v>
      </c>
      <c r="V85" s="153">
        <f>+VLOOKUP($L85,Data_Validation!$A:$D,4,0)</f>
        <v>0</v>
      </c>
      <c r="W85" s="153" t="str">
        <f>+VLOOKUP($L85,Data_Validation!$A:$E,5,0)</f>
        <v>$</v>
      </c>
      <c r="X85" s="153">
        <f>+VLOOKUP($L85,Data_Validation!$A:$F,6,0)</f>
        <v>0</v>
      </c>
    </row>
    <row r="86" spans="1:24" ht="15" customHeight="1">
      <c r="A86" s="1430" t="s">
        <v>2369</v>
      </c>
      <c r="B86" s="1431">
        <v>661</v>
      </c>
      <c r="C86" s="1432"/>
      <c r="D86" s="1432"/>
      <c r="E86" s="1432"/>
      <c r="F86" s="1430" t="s">
        <v>1</v>
      </c>
      <c r="G86" s="1430" t="s">
        <v>2208</v>
      </c>
      <c r="H86" s="1432"/>
      <c r="I86" s="1433">
        <v>1</v>
      </c>
      <c r="J86" s="1433">
        <v>0</v>
      </c>
      <c r="K86" s="1433">
        <v>1</v>
      </c>
      <c r="L86" s="150">
        <f t="shared" si="0"/>
        <v>661</v>
      </c>
      <c r="M86" s="151" t="str">
        <f t="shared" si="1"/>
        <v>PERSONELS CLER. NEUFS</v>
      </c>
      <c r="N86" s="152">
        <f>+IF(OR($Q86=Parametres!$G$2,$Q86=Parametres!$G$3),I86,C86)</f>
        <v>1</v>
      </c>
      <c r="O86" s="152">
        <f>+IF(OR($Q86=Parametres!$G$2,$Q86=Parametres!$G$3),J86,D86)</f>
        <v>0</v>
      </c>
      <c r="P86" s="152">
        <f>+IF(OR($Q86=Parametres!$G$2,$Q86=Parametres!$G$3),K86,E86)</f>
        <v>1</v>
      </c>
      <c r="Q86" s="151" t="str">
        <f t="shared" si="7"/>
        <v>1-Mémo</v>
      </c>
      <c r="R86" s="150" t="str">
        <f t="shared" si="7"/>
        <v>50</v>
      </c>
      <c r="S86" s="151">
        <f t="shared" si="7"/>
        <v>0</v>
      </c>
      <c r="T86" s="153">
        <f>+VLOOKUP($L86,Data_Validation!$A:$D,1,0)</f>
        <v>661</v>
      </c>
      <c r="U86" s="153">
        <f>+VLOOKUP($L86,Data_Validation!$A:$D,3,0)</f>
        <v>0</v>
      </c>
      <c r="V86" s="153">
        <f>+VLOOKUP($L86,Data_Validation!$A:$D,4,0)</f>
        <v>0</v>
      </c>
      <c r="W86" s="153" t="str">
        <f>+VLOOKUP($L86,Data_Validation!$A:$E,5,0)</f>
        <v>$</v>
      </c>
      <c r="X86" s="153">
        <f>+VLOOKUP($L86,Data_Validation!$A:$F,6,0)</f>
        <v>0</v>
      </c>
    </row>
    <row r="87" spans="1:24" ht="15" customHeight="1">
      <c r="A87" s="1430" t="s">
        <v>2371</v>
      </c>
      <c r="B87" s="1431">
        <v>662</v>
      </c>
      <c r="C87" s="1432"/>
      <c r="D87" s="1432"/>
      <c r="E87" s="1432"/>
      <c r="F87" s="1430" t="s">
        <v>1</v>
      </c>
      <c r="G87" s="1430" t="s">
        <v>2208</v>
      </c>
      <c r="H87" s="1432"/>
      <c r="I87" s="1433">
        <v>1</v>
      </c>
      <c r="J87" s="1433">
        <v>0</v>
      </c>
      <c r="K87" s="1433">
        <v>1</v>
      </c>
      <c r="L87" s="150">
        <f t="shared" si="0"/>
        <v>662</v>
      </c>
      <c r="M87" s="151" t="str">
        <f t="shared" si="1"/>
        <v>PERSONELS CLER. USAGES</v>
      </c>
      <c r="N87" s="152">
        <f>+IF(OR($Q87=Parametres!$G$2,$Q87=Parametres!$G$3),I87,C87)</f>
        <v>1</v>
      </c>
      <c r="O87" s="152">
        <f>+IF(OR($Q87=Parametres!$G$2,$Q87=Parametres!$G$3),J87,D87)</f>
        <v>0</v>
      </c>
      <c r="P87" s="152">
        <f>+IF(OR($Q87=Parametres!$G$2,$Q87=Parametres!$G$3),K87,E87)</f>
        <v>1</v>
      </c>
      <c r="Q87" s="151" t="str">
        <f t="shared" si="7"/>
        <v>1-Mémo</v>
      </c>
      <c r="R87" s="150" t="str">
        <f t="shared" si="7"/>
        <v>50</v>
      </c>
      <c r="S87" s="151">
        <f t="shared" si="7"/>
        <v>0</v>
      </c>
      <c r="T87" s="153">
        <f>+VLOOKUP($L87,Data_Validation!$A:$D,1,0)</f>
        <v>662</v>
      </c>
      <c r="U87" s="153">
        <f>+VLOOKUP($L87,Data_Validation!$A:$D,3,0)</f>
        <v>0</v>
      </c>
      <c r="V87" s="153">
        <f>+VLOOKUP($L87,Data_Validation!$A:$D,4,0)</f>
        <v>0</v>
      </c>
      <c r="W87" s="153" t="str">
        <f>+VLOOKUP($L87,Data_Validation!$A:$E,5,0)</f>
        <v>$</v>
      </c>
      <c r="X87" s="153">
        <f>+VLOOKUP($L87,Data_Validation!$A:$F,6,0)</f>
        <v>0</v>
      </c>
    </row>
    <row r="88" spans="1:24" ht="15" customHeight="1">
      <c r="A88" s="1430" t="s">
        <v>2373</v>
      </c>
      <c r="B88" s="1431">
        <v>664</v>
      </c>
      <c r="C88" s="1432"/>
      <c r="D88" s="1432"/>
      <c r="E88" s="1432"/>
      <c r="F88" s="1430" t="s">
        <v>1</v>
      </c>
      <c r="G88" s="1430" t="s">
        <v>2208</v>
      </c>
      <c r="H88" s="1432"/>
      <c r="I88" s="1433">
        <v>1</v>
      </c>
      <c r="J88" s="1433">
        <v>0</v>
      </c>
      <c r="K88" s="1433">
        <v>1</v>
      </c>
      <c r="L88" s="150">
        <f t="shared" si="0"/>
        <v>664</v>
      </c>
      <c r="M88" s="151" t="str">
        <f t="shared" si="1"/>
        <v>PERSONELS CLER. SERVICE</v>
      </c>
      <c r="N88" s="152">
        <f>+IF(OR($Q88=Parametres!$G$2,$Q88=Parametres!$G$3),I88,C88)</f>
        <v>1</v>
      </c>
      <c r="O88" s="569">
        <f>+IF(OR($Q88=Parametres!$G$2,$Q88=Parametres!$G$3),J88,D88)</f>
        <v>0</v>
      </c>
      <c r="P88" s="152">
        <f>+IF(OR($Q88=Parametres!$G$2,$Q88=Parametres!$G$3),K88,E88)</f>
        <v>1</v>
      </c>
      <c r="Q88" s="151" t="str">
        <f t="shared" si="7"/>
        <v>1-Mémo</v>
      </c>
      <c r="R88" s="150" t="str">
        <f t="shared" si="7"/>
        <v>50</v>
      </c>
      <c r="S88" s="151">
        <f t="shared" si="7"/>
        <v>0</v>
      </c>
      <c r="T88" s="153">
        <f>+VLOOKUP($L88,Data_Validation!$A:$D,1,0)</f>
        <v>664</v>
      </c>
      <c r="U88" s="153">
        <f>+VLOOKUP($L88,Data_Validation!$A:$D,3,0)</f>
        <v>0</v>
      </c>
      <c r="V88" s="153">
        <f>+VLOOKUP($L88,Data_Validation!$A:$D,4,0)</f>
        <v>0</v>
      </c>
      <c r="W88" s="153" t="str">
        <f>+VLOOKUP($L88,Data_Validation!$A:$E,5,0)</f>
        <v>$</v>
      </c>
      <c r="X88" s="153">
        <f>+VLOOKUP($L88,Data_Validation!$A:$F,6,0)</f>
        <v>0</v>
      </c>
    </row>
    <row r="89" spans="1:24" ht="15" customHeight="1">
      <c r="A89" s="1430" t="s">
        <v>2375</v>
      </c>
      <c r="B89" s="1431">
        <v>667</v>
      </c>
      <c r="C89" s="1432"/>
      <c r="D89" s="1432"/>
      <c r="E89" s="1432"/>
      <c r="F89" s="1430" t="s">
        <v>1</v>
      </c>
      <c r="G89" s="1430" t="s">
        <v>2208</v>
      </c>
      <c r="H89" s="1432"/>
      <c r="I89" s="1433">
        <v>1</v>
      </c>
      <c r="J89" s="1433">
        <v>0</v>
      </c>
      <c r="K89" s="1433">
        <v>1</v>
      </c>
      <c r="L89" s="150">
        <f t="shared" si="0"/>
        <v>667</v>
      </c>
      <c r="M89" s="151" t="str">
        <f t="shared" si="1"/>
        <v>PERSONELS CLER. PIECES</v>
      </c>
      <c r="N89" s="152">
        <f>+IF(OR($Q89=Parametres!$G$2,$Q89=Parametres!$G$3),I89,C89)</f>
        <v>1</v>
      </c>
      <c r="O89" s="152">
        <f>+IF(OR($Q89=Parametres!$G$2,$Q89=Parametres!$G$3),J89,D89)</f>
        <v>0</v>
      </c>
      <c r="P89" s="152">
        <f>+IF(OR($Q89=Parametres!$G$2,$Q89=Parametres!$G$3),K89,E89)</f>
        <v>1</v>
      </c>
      <c r="Q89" s="151" t="str">
        <f t="shared" si="7"/>
        <v>1-Mémo</v>
      </c>
      <c r="R89" s="150" t="str">
        <f t="shared" si="7"/>
        <v>50</v>
      </c>
      <c r="S89" s="151">
        <f t="shared" si="7"/>
        <v>0</v>
      </c>
      <c r="T89" s="153">
        <f>+VLOOKUP($L89,Data_Validation!$A:$D,1,0)</f>
        <v>667</v>
      </c>
      <c r="U89" s="153">
        <f>+VLOOKUP($L89,Data_Validation!$A:$D,3,0)</f>
        <v>0</v>
      </c>
      <c r="V89" s="153">
        <f>+VLOOKUP($L89,Data_Validation!$A:$D,4,0)</f>
        <v>0</v>
      </c>
      <c r="W89" s="153" t="str">
        <f>+VLOOKUP($L89,Data_Validation!$A:$E,5,0)</f>
        <v>$</v>
      </c>
      <c r="X89" s="153">
        <f>+VLOOKUP($L89,Data_Validation!$A:$F,6,0)</f>
        <v>0</v>
      </c>
    </row>
    <row r="90" spans="1:24" ht="15" customHeight="1">
      <c r="A90" s="1430" t="s">
        <v>2377</v>
      </c>
      <c r="B90" s="1431">
        <v>677</v>
      </c>
      <c r="C90" s="1432"/>
      <c r="D90" s="1432"/>
      <c r="E90" s="1432"/>
      <c r="F90" s="1430" t="s">
        <v>1</v>
      </c>
      <c r="G90" s="1430" t="s">
        <v>2379</v>
      </c>
      <c r="H90" s="1432"/>
      <c r="I90" s="1433">
        <v>3</v>
      </c>
      <c r="J90" s="1433">
        <v>0</v>
      </c>
      <c r="K90" s="1433">
        <v>3</v>
      </c>
      <c r="L90" s="150">
        <f t="shared" si="0"/>
        <v>677</v>
      </c>
      <c r="M90" s="151" t="str">
        <f t="shared" si="1"/>
        <v>VW PIECES</v>
      </c>
      <c r="N90" s="152">
        <f>+IF(OR($Q90=Parametres!$G$2,$Q90=Parametres!$G$3),I90,C90)</f>
        <v>3</v>
      </c>
      <c r="O90" s="152">
        <f>+IF(OR($Q90=Parametres!$G$2,$Q90=Parametres!$G$3),J90,D90)</f>
        <v>0</v>
      </c>
      <c r="P90" s="152">
        <f>+IF(OR($Q90=Parametres!$G$2,$Q90=Parametres!$G$3),K90,E90)</f>
        <v>3</v>
      </c>
      <c r="Q90" s="151" t="str">
        <f t="shared" si="7"/>
        <v>1-Mémo</v>
      </c>
      <c r="R90" s="150" t="str">
        <f t="shared" si="7"/>
        <v>67</v>
      </c>
      <c r="S90" s="151">
        <f t="shared" si="7"/>
        <v>0</v>
      </c>
      <c r="T90" s="153">
        <f>+VLOOKUP($L90,Data_Validation!$A:$D,1,0)</f>
        <v>677</v>
      </c>
      <c r="U90" s="153">
        <f>+VLOOKUP($L90,Data_Validation!$A:$D,3,0)</f>
        <v>0</v>
      </c>
      <c r="V90" s="153">
        <f>+VLOOKUP($L90,Data_Validation!$A:$D,4,0)</f>
        <v>0</v>
      </c>
      <c r="W90" s="153" t="str">
        <f>+VLOOKUP($L90,Data_Validation!$A:$E,5,0)</f>
        <v>$</v>
      </c>
      <c r="X90" s="153">
        <f>+VLOOKUP($L90,Data_Validation!$A:$F,6,0)</f>
        <v>0</v>
      </c>
    </row>
    <row r="91" spans="1:24" ht="15" customHeight="1">
      <c r="A91" s="1430" t="s">
        <v>2845</v>
      </c>
      <c r="B91" s="1431">
        <v>1102</v>
      </c>
      <c r="C91" s="1433">
        <v>4185046.37</v>
      </c>
      <c r="D91" s="1433">
        <v>606938.25</v>
      </c>
      <c r="E91" s="1433">
        <v>4791984.62</v>
      </c>
      <c r="F91" s="1430" t="s">
        <v>290</v>
      </c>
      <c r="G91" s="1430" t="s">
        <v>2384</v>
      </c>
      <c r="H91" s="1432"/>
      <c r="I91" s="1432"/>
      <c r="J91" s="1432"/>
      <c r="K91" s="1432"/>
      <c r="L91" s="150">
        <f t="shared" si="0"/>
        <v>1102</v>
      </c>
      <c r="M91" s="151" t="str">
        <f t="shared" si="1"/>
        <v>BANQUE DE COMMERCE C/C</v>
      </c>
      <c r="N91" s="152">
        <f>+IF(OR($Q91=Parametres!$G$2,$Q91=Parametres!$G$3),I91,C91)</f>
        <v>4185046.37</v>
      </c>
      <c r="O91" s="152">
        <f>+IF(OR($Q91=Parametres!$G$2,$Q91=Parametres!$G$3),J91,D91)</f>
        <v>606938.25</v>
      </c>
      <c r="P91" s="152">
        <f>+IF(OR($Q91=Parametres!$G$2,$Q91=Parametres!$G$3),K91,E91)</f>
        <v>4791984.62</v>
      </c>
      <c r="Q91" s="151" t="str">
        <f t="shared" si="7"/>
        <v>2-Actifs</v>
      </c>
      <c r="R91" s="150" t="str">
        <f t="shared" si="7"/>
        <v>1102</v>
      </c>
      <c r="S91" s="151">
        <f t="shared" si="7"/>
        <v>0</v>
      </c>
      <c r="T91" s="153">
        <f>+VLOOKUP($L91,Data_Validation!$A:$D,1,0)</f>
        <v>1102</v>
      </c>
      <c r="U91" s="153" t="str">
        <f>+VLOOKUP($L91,Data_Validation!$A:$D,3,0)</f>
        <v>Bilan</v>
      </c>
      <c r="V91" s="153" t="str">
        <f>+VLOOKUP($L91,Data_Validation!$A:$D,4,0)</f>
        <v>Encaisse</v>
      </c>
      <c r="W91" s="153" t="str">
        <f>+VLOOKUP($L91,Data_Validation!$A:$E,5,0)</f>
        <v>$</v>
      </c>
      <c r="X91" s="153">
        <f>+VLOOKUP($L91,Data_Validation!$A:$F,6,0)</f>
        <v>0</v>
      </c>
    </row>
    <row r="92" spans="1:24" ht="15" customHeight="1">
      <c r="A92" s="1430" t="s">
        <v>2382</v>
      </c>
      <c r="B92" s="1431">
        <v>1182</v>
      </c>
      <c r="C92" s="1433">
        <v>50.2</v>
      </c>
      <c r="D92" s="1433">
        <v>0</v>
      </c>
      <c r="E92" s="1433">
        <v>50.2</v>
      </c>
      <c r="F92" s="1430" t="s">
        <v>290</v>
      </c>
      <c r="G92" s="1430" t="s">
        <v>2384</v>
      </c>
      <c r="H92" s="1432"/>
      <c r="I92" s="1432"/>
      <c r="J92" s="1432"/>
      <c r="K92" s="1432"/>
      <c r="L92" s="150">
        <f t="shared" si="0"/>
        <v>1182</v>
      </c>
      <c r="M92" s="151" t="str">
        <f t="shared" si="1"/>
        <v>PETITE CAISSE</v>
      </c>
      <c r="N92" s="152">
        <f>+IF(OR($Q92=Parametres!$G$2,$Q92=Parametres!$G$3),I92,C92)</f>
        <v>50.2</v>
      </c>
      <c r="O92" s="152">
        <f>+IF(OR($Q92=Parametres!$G$2,$Q92=Parametres!$G$3),J92,D92)</f>
        <v>0</v>
      </c>
      <c r="P92" s="152">
        <f>+IF(OR($Q92=Parametres!$G$2,$Q92=Parametres!$G$3),K92,E92)</f>
        <v>50.2</v>
      </c>
      <c r="Q92" s="151" t="str">
        <f t="shared" si="7"/>
        <v>2-Actifs</v>
      </c>
      <c r="R92" s="150" t="str">
        <f t="shared" si="7"/>
        <v>1102</v>
      </c>
      <c r="S92" s="151">
        <f t="shared" si="7"/>
        <v>0</v>
      </c>
      <c r="T92" s="153">
        <f>+VLOOKUP($L92,Data_Validation!$A:$D,1,0)</f>
        <v>1182</v>
      </c>
      <c r="U92" s="153" t="str">
        <f>+VLOOKUP($L92,Data_Validation!$A:$D,3,0)</f>
        <v>Bilan</v>
      </c>
      <c r="V92" s="153" t="str">
        <f>+VLOOKUP($L92,Data_Validation!$A:$D,4,0)</f>
        <v>Encaisse</v>
      </c>
      <c r="W92" s="153" t="str">
        <f>+VLOOKUP($L92,Data_Validation!$A:$E,5,0)</f>
        <v>$</v>
      </c>
      <c r="X92" s="153">
        <f>+VLOOKUP($L92,Data_Validation!$A:$F,6,0)</f>
        <v>0</v>
      </c>
    </row>
    <row r="93" spans="1:24" ht="15" customHeight="1">
      <c r="A93" s="1430" t="s">
        <v>2176</v>
      </c>
      <c r="B93" s="1431">
        <v>1202</v>
      </c>
      <c r="C93" s="1433">
        <v>1970076.17</v>
      </c>
      <c r="D93" s="1433">
        <v>-365283.88</v>
      </c>
      <c r="E93" s="1433">
        <v>1604792.29</v>
      </c>
      <c r="F93" s="1430" t="s">
        <v>290</v>
      </c>
      <c r="G93" s="1430" t="s">
        <v>2177</v>
      </c>
      <c r="H93" s="1432"/>
      <c r="I93" s="1432"/>
      <c r="J93" s="1432"/>
      <c r="K93" s="1432"/>
      <c r="L93" s="150">
        <f t="shared" si="0"/>
        <v>1202</v>
      </c>
      <c r="M93" s="151" t="str">
        <f t="shared" si="1"/>
        <v>CONTRATS EN TRANSIT</v>
      </c>
      <c r="N93" s="152">
        <f>+IF(OR($Q93=Parametres!$G$2,$Q93=Parametres!$G$3),I93,C93)</f>
        <v>1970076.17</v>
      </c>
      <c r="O93" s="569">
        <f>+IF(OR($Q93=Parametres!$G$2,$Q93=Parametres!$G$3),J93,D93)</f>
        <v>-365283.88</v>
      </c>
      <c r="P93" s="152">
        <f>+IF(OR($Q93=Parametres!$G$2,$Q93=Parametres!$G$3),K93,E93)</f>
        <v>1604792.29</v>
      </c>
      <c r="Q93" s="151" t="str">
        <f t="shared" si="7"/>
        <v>2-Actifs</v>
      </c>
      <c r="R93" s="150" t="str">
        <f t="shared" si="7"/>
        <v>1202</v>
      </c>
      <c r="S93" s="151">
        <f t="shared" si="7"/>
        <v>0</v>
      </c>
      <c r="T93" s="153">
        <f>+VLOOKUP($L93,Data_Validation!$A:$D,1,0)</f>
        <v>1202</v>
      </c>
      <c r="U93" s="153" t="str">
        <f>+VLOOKUP($L93,Data_Validation!$A:$D,3,0)</f>
        <v>Bilan</v>
      </c>
      <c r="V93" s="153" t="str">
        <f>+VLOOKUP($L93,Data_Validation!$A:$D,4,0)</f>
        <v>Recevables Contrats en Transit</v>
      </c>
      <c r="W93" s="153" t="str">
        <f>+VLOOKUP($L93,Data_Validation!$A:$E,5,0)</f>
        <v>$</v>
      </c>
      <c r="X93" s="153">
        <f>+VLOOKUP($L93,Data_Validation!$A:$F,6,0)</f>
        <v>0</v>
      </c>
    </row>
    <row r="94" spans="1:24" ht="15.75" customHeight="1">
      <c r="A94" s="1430" t="s">
        <v>2020</v>
      </c>
      <c r="B94" s="1431">
        <v>1302</v>
      </c>
      <c r="C94" s="1433">
        <v>28965.01</v>
      </c>
      <c r="D94" s="1433">
        <v>103800.67</v>
      </c>
      <c r="E94" s="1433">
        <v>132765.68</v>
      </c>
      <c r="F94" s="1430" t="s">
        <v>290</v>
      </c>
      <c r="G94" s="1430" t="s">
        <v>2010</v>
      </c>
      <c r="H94" s="1432"/>
      <c r="I94" s="1432"/>
      <c r="J94" s="1432"/>
      <c r="K94" s="1432"/>
      <c r="L94" s="150">
        <f t="shared" si="0"/>
        <v>1302</v>
      </c>
      <c r="M94" s="151" t="str">
        <f t="shared" si="1"/>
        <v>RECEVABLE-CLIENT-VEHICULE</v>
      </c>
      <c r="N94" s="152">
        <f>+IF(OR($Q94=Parametres!$G$2,$Q94=Parametres!$G$3),I94,C94)</f>
        <v>28965.01</v>
      </c>
      <c r="O94" s="152">
        <f>+IF(OR($Q94=Parametres!$G$2,$Q94=Parametres!$G$3),J94,D94)</f>
        <v>103800.67</v>
      </c>
      <c r="P94" s="152">
        <f>+IF(OR($Q94=Parametres!$G$2,$Q94=Parametres!$G$3),K94,E94)</f>
        <v>132765.68</v>
      </c>
      <c r="Q94" s="151" t="str">
        <f t="shared" si="7"/>
        <v>2-Actifs</v>
      </c>
      <c r="R94" s="150" t="str">
        <f t="shared" si="7"/>
        <v>1302</v>
      </c>
      <c r="S94" s="151">
        <f t="shared" si="7"/>
        <v>0</v>
      </c>
      <c r="T94" s="153">
        <f>+VLOOKUP($L94,Data_Validation!$A:$D,1,0)</f>
        <v>1302</v>
      </c>
      <c r="U94" s="153" t="str">
        <f>+VLOOKUP($L94,Data_Validation!$A:$D,3,0)</f>
        <v>Bilan</v>
      </c>
      <c r="V94" s="153" t="str">
        <f>+VLOOKUP($L94,Data_Validation!$A:$D,4,0)</f>
        <v>Recevables Véhicules</v>
      </c>
      <c r="W94" s="153" t="str">
        <f>+VLOOKUP($L94,Data_Validation!$A:$E,5,0)</f>
        <v>$</v>
      </c>
      <c r="X94" s="153">
        <f>+VLOOKUP($L94,Data_Validation!$A:$F,6,0)</f>
        <v>0</v>
      </c>
    </row>
    <row r="95" spans="1:24" ht="15" customHeight="1">
      <c r="A95" s="1430" t="s">
        <v>2008</v>
      </c>
      <c r="B95" s="1431">
        <v>1303</v>
      </c>
      <c r="C95" s="1433">
        <v>365687.65</v>
      </c>
      <c r="D95" s="1433">
        <v>403447.59</v>
      </c>
      <c r="E95" s="1433">
        <v>769135.24</v>
      </c>
      <c r="F95" s="1430" t="s">
        <v>290</v>
      </c>
      <c r="G95" s="1430" t="s">
        <v>2010</v>
      </c>
      <c r="H95" s="1432"/>
      <c r="I95" s="1432"/>
      <c r="J95" s="1432"/>
      <c r="K95" s="1432"/>
      <c r="L95" s="150">
        <f t="shared" si="0"/>
        <v>1303</v>
      </c>
      <c r="M95" s="151" t="str">
        <f t="shared" si="1"/>
        <v>RECEVABLES LPA ET AU GROS</v>
      </c>
      <c r="N95" s="152">
        <f>+IF(OR($Q95=Parametres!$G$2,$Q95=Parametres!$G$3),I95,C95)</f>
        <v>365687.65</v>
      </c>
      <c r="O95" s="152">
        <f>+IF(OR($Q95=Parametres!$G$2,$Q95=Parametres!$G$3),J95,D95)</f>
        <v>403447.59</v>
      </c>
      <c r="P95" s="152">
        <f>+IF(OR($Q95=Parametres!$G$2,$Q95=Parametres!$G$3),K95,E95)</f>
        <v>769135.24</v>
      </c>
      <c r="Q95" s="151" t="str">
        <f t="shared" si="7"/>
        <v>2-Actifs</v>
      </c>
      <c r="R95" s="150" t="str">
        <f t="shared" si="7"/>
        <v>1302</v>
      </c>
      <c r="S95" s="151">
        <f t="shared" si="7"/>
        <v>0</v>
      </c>
      <c r="T95" s="153">
        <f>+VLOOKUP($L95,Data_Validation!$A:$D,1,0)</f>
        <v>1303</v>
      </c>
      <c r="U95" s="153" t="str">
        <f>+VLOOKUP($L95,Data_Validation!$A:$D,3,0)</f>
        <v>Bilan</v>
      </c>
      <c r="V95" s="153" t="str">
        <f>+VLOOKUP($L95,Data_Validation!$A:$D,4,0)</f>
        <v>Recevables Véhicules</v>
      </c>
      <c r="W95" s="153" t="str">
        <f>+VLOOKUP($L95,Data_Validation!$A:$E,5,0)</f>
        <v>$</v>
      </c>
      <c r="X95" s="153">
        <f>+VLOOKUP($L95,Data_Validation!$A:$F,6,0)</f>
        <v>0</v>
      </c>
    </row>
    <row r="96" spans="1:24" ht="15" customHeight="1">
      <c r="A96" s="1430" t="s">
        <v>2095</v>
      </c>
      <c r="B96" s="1431">
        <v>1304</v>
      </c>
      <c r="C96" s="1433">
        <v>60868.68</v>
      </c>
      <c r="D96" s="1433">
        <v>6315.26</v>
      </c>
      <c r="E96" s="1433">
        <v>67183.94</v>
      </c>
      <c r="F96" s="1430" t="s">
        <v>290</v>
      </c>
      <c r="G96" s="1430" t="s">
        <v>2096</v>
      </c>
      <c r="H96" s="1432"/>
      <c r="I96" s="1432"/>
      <c r="J96" s="1432"/>
      <c r="K96" s="1432"/>
      <c r="L96" s="150">
        <f t="shared" si="0"/>
        <v>1304</v>
      </c>
      <c r="M96" s="151" t="str">
        <f t="shared" si="1"/>
        <v>RECEVABLES PIECES &amp; SERVICE</v>
      </c>
      <c r="N96" s="152">
        <f>+IF(OR($Q96=Parametres!$G$2,$Q96=Parametres!$G$3),I96,C96)</f>
        <v>60868.68</v>
      </c>
      <c r="O96" s="152">
        <f>+IF(OR($Q96=Parametres!$G$2,$Q96=Parametres!$G$3),J96,D96)</f>
        <v>6315.26</v>
      </c>
      <c r="P96" s="152">
        <f>+IF(OR($Q96=Parametres!$G$2,$Q96=Parametres!$G$3),K96,E96)</f>
        <v>67183.94</v>
      </c>
      <c r="Q96" s="151" t="str">
        <f t="shared" si="7"/>
        <v>2-Actifs</v>
      </c>
      <c r="R96" s="150" t="str">
        <f t="shared" si="7"/>
        <v>1304</v>
      </c>
      <c r="S96" s="151">
        <f t="shared" si="7"/>
        <v>0</v>
      </c>
      <c r="T96" s="153">
        <f>+VLOOKUP($L96,Data_Validation!$A:$D,1,0)</f>
        <v>1304</v>
      </c>
      <c r="U96" s="153" t="str">
        <f>+VLOOKUP($L96,Data_Validation!$A:$D,3,0)</f>
        <v>Bilan</v>
      </c>
      <c r="V96" s="153" t="str">
        <f>+VLOOKUP($L96,Data_Validation!$A:$D,4,0)</f>
        <v>Recevables Pièces et Service</v>
      </c>
      <c r="W96" s="153" t="str">
        <f>+VLOOKUP($L96,Data_Validation!$A:$E,5,0)</f>
        <v>$</v>
      </c>
      <c r="X96" s="153">
        <f>+VLOOKUP($L96,Data_Validation!$A:$F,6,0)</f>
        <v>0</v>
      </c>
    </row>
    <row r="97" spans="1:24" ht="15" customHeight="1">
      <c r="A97" s="1430" t="s">
        <v>2728</v>
      </c>
      <c r="B97" s="1431">
        <v>1305</v>
      </c>
      <c r="C97" s="1433">
        <v>77891.8</v>
      </c>
      <c r="D97" s="1433">
        <v>-16244.71</v>
      </c>
      <c r="E97" s="1433">
        <v>61647.09</v>
      </c>
      <c r="F97" s="1430" t="s">
        <v>290</v>
      </c>
      <c r="G97" s="1430" t="s">
        <v>2096</v>
      </c>
      <c r="H97" s="1432"/>
      <c r="I97" s="1432"/>
      <c r="J97" s="1432"/>
      <c r="K97" s="1432"/>
      <c r="L97" s="150">
        <f t="shared" si="0"/>
        <v>1305</v>
      </c>
      <c r="M97" s="151" t="str">
        <f t="shared" si="1"/>
        <v>RECEVABLES CARROSSERIE</v>
      </c>
      <c r="N97" s="152">
        <f>+IF(OR($Q97=Parametres!$G$2,$Q97=Parametres!$G$3),I97,C97)</f>
        <v>77891.8</v>
      </c>
      <c r="O97" s="152">
        <f>+IF(OR($Q97=Parametres!$G$2,$Q97=Parametres!$G$3),J97,D97)</f>
        <v>-16244.71</v>
      </c>
      <c r="P97" s="152">
        <f>+IF(OR($Q97=Parametres!$G$2,$Q97=Parametres!$G$3),K97,E97)</f>
        <v>61647.09</v>
      </c>
      <c r="Q97" s="151" t="str">
        <f t="shared" si="7"/>
        <v>2-Actifs</v>
      </c>
      <c r="R97" s="150" t="str">
        <f t="shared" si="7"/>
        <v>1304</v>
      </c>
      <c r="S97" s="151">
        <f t="shared" si="7"/>
        <v>0</v>
      </c>
      <c r="T97" s="153">
        <f>+VLOOKUP($L97,Data_Validation!$A:$D,1,0)</f>
        <v>1305</v>
      </c>
      <c r="U97" s="153" t="str">
        <f>+VLOOKUP($L97,Data_Validation!$A:$D,3,0)</f>
        <v>Bilan</v>
      </c>
      <c r="V97" s="153" t="str">
        <f>+VLOOKUP($L97,Data_Validation!$A:$D,4,0)</f>
        <v>Recevables Carrosserie</v>
      </c>
      <c r="W97" s="153" t="str">
        <f>+VLOOKUP($L97,Data_Validation!$A:$E,5,0)</f>
        <v>$</v>
      </c>
      <c r="X97" s="153">
        <f>+VLOOKUP($L97,Data_Validation!$A:$F,6,0)</f>
        <v>0</v>
      </c>
    </row>
    <row r="98" spans="1:24" ht="15" customHeight="1">
      <c r="A98" s="1430" t="s">
        <v>2928</v>
      </c>
      <c r="B98" s="1431">
        <v>1306</v>
      </c>
      <c r="C98" s="1433">
        <v>48090.67</v>
      </c>
      <c r="D98" s="1433">
        <v>-30093.46</v>
      </c>
      <c r="E98" s="1433">
        <v>17997.21</v>
      </c>
      <c r="F98" s="1430" t="s">
        <v>290</v>
      </c>
      <c r="G98" s="1430" t="s">
        <v>2096</v>
      </c>
      <c r="H98" s="1432"/>
      <c r="I98" s="1432"/>
      <c r="J98" s="1432"/>
      <c r="K98" s="1432"/>
      <c r="L98" s="150">
        <f t="shared" si="0"/>
        <v>1306</v>
      </c>
      <c r="M98" s="151" t="str">
        <f t="shared" si="1"/>
        <v>RECEVABLES INTERCO</v>
      </c>
      <c r="N98" s="152">
        <f>+IF(OR($Q98=Parametres!$G$2,$Q98=Parametres!$G$3),I98,C98)</f>
        <v>48090.67</v>
      </c>
      <c r="O98" s="152">
        <f>+IF(OR($Q98=Parametres!$G$2,$Q98=Parametres!$G$3),J98,D98)</f>
        <v>-30093.46</v>
      </c>
      <c r="P98" s="152">
        <f>+IF(OR($Q98=Parametres!$G$2,$Q98=Parametres!$G$3),K98,E98)</f>
        <v>17997.21</v>
      </c>
      <c r="Q98" s="151" t="str">
        <f t="shared" ref="Q98:S113" si="8">+F98</f>
        <v>2-Actifs</v>
      </c>
      <c r="R98" s="150" t="str">
        <f t="shared" si="8"/>
        <v>1304</v>
      </c>
      <c r="S98" s="151">
        <f t="shared" si="8"/>
        <v>0</v>
      </c>
      <c r="T98" s="153">
        <f>+VLOOKUP($L98,Data_Validation!$A:$D,1,0)</f>
        <v>1306</v>
      </c>
      <c r="U98" s="153" t="str">
        <f>+VLOOKUP($L98,Data_Validation!$A:$D,3,0)</f>
        <v>Bilan</v>
      </c>
      <c r="V98" s="153" t="str">
        <f>+VLOOKUP($L98,Data_Validation!$A:$D,4,0)</f>
        <v>Recevables Intercos</v>
      </c>
      <c r="W98" s="153" t="str">
        <f>+VLOOKUP($L98,Data_Validation!$A:$E,5,0)</f>
        <v>$</v>
      </c>
      <c r="X98" s="153">
        <f>+VLOOKUP($L98,Data_Validation!$A:$F,6,0)</f>
        <v>0</v>
      </c>
    </row>
    <row r="99" spans="1:24" ht="15.75" customHeight="1">
      <c r="A99" s="1430" t="s">
        <v>2825</v>
      </c>
      <c r="B99" s="1431">
        <v>1312</v>
      </c>
      <c r="C99" s="1433">
        <v>14899</v>
      </c>
      <c r="D99" s="1433">
        <v>25877</v>
      </c>
      <c r="E99" s="1433">
        <v>40776</v>
      </c>
      <c r="F99" s="1430" t="s">
        <v>290</v>
      </c>
      <c r="G99" s="1430" t="s">
        <v>2015</v>
      </c>
      <c r="H99" s="1432"/>
      <c r="I99" s="1432"/>
      <c r="J99" s="1432"/>
      <c r="K99" s="1432"/>
      <c r="L99" s="150">
        <f t="shared" si="0"/>
        <v>1312</v>
      </c>
      <c r="M99" s="151" t="str">
        <f t="shared" si="1"/>
        <v>RESEVE VOLKS</v>
      </c>
      <c r="N99" s="152">
        <f>+IF(OR($Q99=Parametres!$G$2,$Q99=Parametres!$G$3),I99,C99)</f>
        <v>14899</v>
      </c>
      <c r="O99" s="152">
        <f>+IF(OR($Q99=Parametres!$G$2,$Q99=Parametres!$G$3),J99,D99)</f>
        <v>25877</v>
      </c>
      <c r="P99" s="152">
        <f>+IF(OR($Q99=Parametres!$G$2,$Q99=Parametres!$G$3),K99,E99)</f>
        <v>40776</v>
      </c>
      <c r="Q99" s="151" t="str">
        <f t="shared" si="8"/>
        <v>2-Actifs</v>
      </c>
      <c r="R99" s="150" t="str">
        <f t="shared" si="8"/>
        <v>1314</v>
      </c>
      <c r="S99" s="151">
        <f t="shared" si="8"/>
        <v>0</v>
      </c>
      <c r="T99" s="153">
        <f>+VLOOKUP($L99,Data_Validation!$A:$D,1,0)</f>
        <v>1312</v>
      </c>
      <c r="U99" s="153" t="str">
        <f>+VLOOKUP($L99,Data_Validation!$A:$D,3,0)</f>
        <v>Bilan</v>
      </c>
      <c r="V99" s="153" t="str">
        <f>+VLOOKUP($L99,Data_Validation!$A:$D,4,0)</f>
        <v>Recevables Manufacturier</v>
      </c>
      <c r="W99" s="153" t="str">
        <f>+VLOOKUP($L99,Data_Validation!$A:$E,5,0)</f>
        <v>$</v>
      </c>
      <c r="X99" s="153">
        <f>+VLOOKUP($L99,Data_Validation!$A:$F,6,0)</f>
        <v>0</v>
      </c>
    </row>
    <row r="100" spans="1:24" ht="15" customHeight="1">
      <c r="A100" s="1430" t="s">
        <v>2053</v>
      </c>
      <c r="B100" s="1431">
        <v>1332</v>
      </c>
      <c r="C100" s="1433">
        <v>96681.83</v>
      </c>
      <c r="D100" s="1433">
        <v>-29959.040000000001</v>
      </c>
      <c r="E100" s="1433">
        <v>66722.789999999994</v>
      </c>
      <c r="F100" s="1430" t="s">
        <v>290</v>
      </c>
      <c r="G100" s="1430" t="s">
        <v>2054</v>
      </c>
      <c r="H100" s="1432"/>
      <c r="I100" s="1432"/>
      <c r="J100" s="1432"/>
      <c r="K100" s="1432"/>
      <c r="L100" s="150">
        <f t="shared" si="0"/>
        <v>1332</v>
      </c>
      <c r="M100" s="151" t="str">
        <f t="shared" si="1"/>
        <v>RECLAM. RECEVABLE-GARANTIE</v>
      </c>
      <c r="N100" s="152">
        <f>+IF(OR($Q100=Parametres!$G$2,$Q100=Parametres!$G$3),I100,C100)</f>
        <v>96681.83</v>
      </c>
      <c r="O100" s="152">
        <f>+IF(OR($Q100=Parametres!$G$2,$Q100=Parametres!$G$3),J100,D100)</f>
        <v>-29959.040000000001</v>
      </c>
      <c r="P100" s="152">
        <f>+IF(OR($Q100=Parametres!$G$2,$Q100=Parametres!$G$3),K100,E100)</f>
        <v>66722.789999999994</v>
      </c>
      <c r="Q100" s="151" t="str">
        <f t="shared" si="8"/>
        <v>2-Actifs</v>
      </c>
      <c r="R100" s="150" t="str">
        <f t="shared" si="8"/>
        <v>1332</v>
      </c>
      <c r="S100" s="151">
        <f t="shared" si="8"/>
        <v>0</v>
      </c>
      <c r="T100" s="153">
        <f>+VLOOKUP($L100,Data_Validation!$A:$D,1,0)</f>
        <v>1332</v>
      </c>
      <c r="U100" s="153" t="str">
        <f>+VLOOKUP($L100,Data_Validation!$A:$D,3,0)</f>
        <v>Bilan</v>
      </c>
      <c r="V100" s="153" t="str">
        <f>+VLOOKUP($L100,Data_Validation!$A:$D,4,0)</f>
        <v>Recevables Garantie Manufacturier</v>
      </c>
      <c r="W100" s="153" t="str">
        <f>+VLOOKUP($L100,Data_Validation!$A:$E,5,0)</f>
        <v>$</v>
      </c>
      <c r="X100" s="153">
        <f>+VLOOKUP($L100,Data_Validation!$A:$F,6,0)</f>
        <v>0</v>
      </c>
    </row>
    <row r="101" spans="1:24" ht="15" customHeight="1">
      <c r="A101" s="1430" t="s">
        <v>2774</v>
      </c>
      <c r="B101" s="1431">
        <v>1340</v>
      </c>
      <c r="C101" s="1433">
        <v>2941.34</v>
      </c>
      <c r="D101" s="1433">
        <v>-631.61</v>
      </c>
      <c r="E101" s="1433">
        <v>2309.73</v>
      </c>
      <c r="F101" s="1430" t="s">
        <v>290</v>
      </c>
      <c r="G101" s="1430" t="s">
        <v>2614</v>
      </c>
      <c r="H101" s="1432"/>
      <c r="I101" s="1432"/>
      <c r="J101" s="1432"/>
      <c r="K101" s="1432"/>
      <c r="L101" s="150">
        <f t="shared" si="0"/>
        <v>1340</v>
      </c>
      <c r="M101" s="151" t="str">
        <f t="shared" si="1"/>
        <v>GARANTIE PPM</v>
      </c>
      <c r="N101" s="152">
        <f>+IF(OR($Q101=Parametres!$G$2,$Q101=Parametres!$G$3),I101,C101)</f>
        <v>2941.34</v>
      </c>
      <c r="O101" s="152">
        <f>+IF(OR($Q101=Parametres!$G$2,$Q101=Parametres!$G$3),J101,D101)</f>
        <v>-631.61</v>
      </c>
      <c r="P101" s="152">
        <f>+IF(OR($Q101=Parametres!$G$2,$Q101=Parametres!$G$3),K101,E101)</f>
        <v>2309.73</v>
      </c>
      <c r="Q101" s="151" t="str">
        <f t="shared" si="8"/>
        <v>2-Actifs</v>
      </c>
      <c r="R101" s="150" t="str">
        <f t="shared" si="8"/>
        <v>1382</v>
      </c>
      <c r="S101" s="151">
        <f t="shared" si="8"/>
        <v>0</v>
      </c>
      <c r="T101" s="153">
        <f>+VLOOKUP($L101,Data_Validation!$A:$D,1,0)</f>
        <v>1340</v>
      </c>
      <c r="U101" s="153" t="str">
        <f>+VLOOKUP($L101,Data_Validation!$A:$D,3,0)</f>
        <v>Bilan</v>
      </c>
      <c r="V101" s="153" t="str">
        <f>+VLOOKUP($L101,Data_Validation!$A:$D,4,0)</f>
        <v>recevables Autres</v>
      </c>
      <c r="W101" s="153" t="str">
        <f>+VLOOKUP($L101,Data_Validation!$A:$E,5,0)</f>
        <v>$</v>
      </c>
      <c r="X101" s="153">
        <f>+VLOOKUP($L101,Data_Validation!$A:$F,6,0)</f>
        <v>0</v>
      </c>
    </row>
    <row r="102" spans="1:24" ht="15" customHeight="1">
      <c r="A102" s="1430" t="s">
        <v>2013</v>
      </c>
      <c r="B102" s="1431">
        <v>1352</v>
      </c>
      <c r="C102" s="1433">
        <v>-2492.2600000000002</v>
      </c>
      <c r="D102" s="1433">
        <v>-19089</v>
      </c>
      <c r="E102" s="1433">
        <v>-21581.26</v>
      </c>
      <c r="F102" s="1430" t="s">
        <v>290</v>
      </c>
      <c r="G102" s="1430" t="s">
        <v>2015</v>
      </c>
      <c r="H102" s="1432"/>
      <c r="I102" s="1432"/>
      <c r="J102" s="1432"/>
      <c r="K102" s="1432"/>
      <c r="L102" s="150">
        <f t="shared" si="0"/>
        <v>1352</v>
      </c>
      <c r="M102" s="151" t="str">
        <f t="shared" si="1"/>
        <v>RECEV. MANUFACTURIER VOLKS</v>
      </c>
      <c r="N102" s="152">
        <f>+IF(OR($Q102=Parametres!$G$2,$Q102=Parametres!$G$3),I102,C102)</f>
        <v>-2492.2600000000002</v>
      </c>
      <c r="O102" s="569">
        <f>+IF(OR($Q102=Parametres!$G$2,$Q102=Parametres!$G$3),J102,D102)</f>
        <v>-19089</v>
      </c>
      <c r="P102" s="152">
        <f>+IF(OR($Q102=Parametres!$G$2,$Q102=Parametres!$G$3),K102,E102)</f>
        <v>-21581.26</v>
      </c>
      <c r="Q102" s="151" t="str">
        <f t="shared" si="8"/>
        <v>2-Actifs</v>
      </c>
      <c r="R102" s="150" t="str">
        <f t="shared" si="8"/>
        <v>1314</v>
      </c>
      <c r="S102" s="151">
        <f t="shared" si="8"/>
        <v>0</v>
      </c>
      <c r="T102" s="153">
        <f>+VLOOKUP($L102,Data_Validation!$A:$D,1,0)</f>
        <v>1352</v>
      </c>
      <c r="U102" s="153" t="str">
        <f>+VLOOKUP($L102,Data_Validation!$A:$D,3,0)</f>
        <v>Bilan</v>
      </c>
      <c r="V102" s="153" t="str">
        <f>+VLOOKUP($L102,Data_Validation!$A:$D,4,0)</f>
        <v>Recevables Manufacturier</v>
      </c>
      <c r="W102" s="153" t="str">
        <f>+VLOOKUP($L102,Data_Validation!$A:$E,5,0)</f>
        <v>$</v>
      </c>
      <c r="X102" s="153">
        <f>+VLOOKUP($L102,Data_Validation!$A:$F,6,0)</f>
        <v>0</v>
      </c>
    </row>
    <row r="103" spans="1:24" ht="15.75" customHeight="1">
      <c r="A103" s="1430" t="s">
        <v>2813</v>
      </c>
      <c r="B103" s="1431">
        <v>1372</v>
      </c>
      <c r="C103" s="1433">
        <v>8168.68</v>
      </c>
      <c r="D103" s="1433">
        <v>0</v>
      </c>
      <c r="E103" s="1433">
        <v>8168.68</v>
      </c>
      <c r="F103" s="1430" t="s">
        <v>290</v>
      </c>
      <c r="G103" s="1430" t="s">
        <v>2814</v>
      </c>
      <c r="H103" s="1432"/>
      <c r="I103" s="1432"/>
      <c r="J103" s="1432"/>
      <c r="K103" s="1432"/>
      <c r="L103" s="150">
        <f t="shared" si="0"/>
        <v>1372</v>
      </c>
      <c r="M103" s="151" t="str">
        <f t="shared" si="1"/>
        <v>TAXES DE VENTES A RECEVOIR</v>
      </c>
      <c r="N103" s="152">
        <f>+IF(OR($Q103=Parametres!$G$2,$Q103=Parametres!$G$3),I103,C103)</f>
        <v>8168.68</v>
      </c>
      <c r="O103" s="152">
        <f>+IF(OR($Q103=Parametres!$G$2,$Q103=Parametres!$G$3),J103,D103)</f>
        <v>0</v>
      </c>
      <c r="P103" s="152">
        <f>+IF(OR($Q103=Parametres!$G$2,$Q103=Parametres!$G$3),K103,E103)</f>
        <v>8168.68</v>
      </c>
      <c r="Q103" s="151" t="str">
        <f t="shared" si="8"/>
        <v>2-Actifs</v>
      </c>
      <c r="R103" s="150" t="str">
        <f t="shared" si="8"/>
        <v>1372</v>
      </c>
      <c r="S103" s="151">
        <f t="shared" si="8"/>
        <v>0</v>
      </c>
      <c r="T103" s="153">
        <f>+VLOOKUP($L103,Data_Validation!$A:$D,1,0)</f>
        <v>1372</v>
      </c>
      <c r="U103" s="153" t="str">
        <f>+VLOOKUP($L103,Data_Validation!$A:$D,3,0)</f>
        <v>Bilan</v>
      </c>
      <c r="V103" s="153" t="str">
        <f>+VLOOKUP($L103,Data_Validation!$A:$D,4,0)</f>
        <v>Taxes de Vente à Payer</v>
      </c>
      <c r="W103" s="153" t="str">
        <f>+VLOOKUP($L103,Data_Validation!$A:$E,5,0)</f>
        <v>$</v>
      </c>
      <c r="X103" s="153">
        <f>+VLOOKUP($L103,Data_Validation!$A:$F,6,0)</f>
        <v>0</v>
      </c>
    </row>
    <row r="104" spans="1:24" ht="15" customHeight="1">
      <c r="A104" s="1430" t="s">
        <v>2856</v>
      </c>
      <c r="B104" s="1431">
        <v>1399</v>
      </c>
      <c r="C104" s="1433">
        <v>-34850.53</v>
      </c>
      <c r="D104" s="1433">
        <v>0</v>
      </c>
      <c r="E104" s="1433">
        <v>-34850.53</v>
      </c>
      <c r="F104" s="1430" t="s">
        <v>290</v>
      </c>
      <c r="G104" s="1430" t="s">
        <v>2857</v>
      </c>
      <c r="H104" s="1432"/>
      <c r="I104" s="1432"/>
      <c r="J104" s="1432"/>
      <c r="K104" s="1432"/>
      <c r="L104" s="150">
        <f t="shared" si="0"/>
        <v>1399</v>
      </c>
      <c r="M104" s="151" t="str">
        <f t="shared" si="1"/>
        <v>RESERVE CREANCE DOUTEUSES</v>
      </c>
      <c r="N104" s="152">
        <f>+IF(OR($Q104=Parametres!$G$2,$Q104=Parametres!$G$3),I104,C104)</f>
        <v>-34850.53</v>
      </c>
      <c r="O104" s="152">
        <f>+IF(OR($Q104=Parametres!$G$2,$Q104=Parametres!$G$3),J104,D104)</f>
        <v>0</v>
      </c>
      <c r="P104" s="152">
        <f>+IF(OR($Q104=Parametres!$G$2,$Q104=Parametres!$G$3),K104,E104)</f>
        <v>-34850.53</v>
      </c>
      <c r="Q104" s="151" t="str">
        <f t="shared" si="8"/>
        <v>2-Actifs</v>
      </c>
      <c r="R104" s="150" t="str">
        <f t="shared" si="8"/>
        <v>1399</v>
      </c>
      <c r="S104" s="151">
        <f t="shared" si="8"/>
        <v>0</v>
      </c>
      <c r="T104" s="153">
        <f>+VLOOKUP($L104,Data_Validation!$A:$D,1,0)</f>
        <v>1399</v>
      </c>
      <c r="U104" s="153" t="str">
        <f>+VLOOKUP($L104,Data_Validation!$A:$D,3,0)</f>
        <v>Bilan</v>
      </c>
      <c r="V104" s="153" t="str">
        <f>+VLOOKUP($L104,Data_Validation!$A:$D,4,0)</f>
        <v>Recevables Pièces et Service</v>
      </c>
      <c r="W104" s="153" t="str">
        <f>+VLOOKUP($L104,Data_Validation!$A:$E,5,0)</f>
        <v>$</v>
      </c>
      <c r="X104" s="153">
        <f>+VLOOKUP($L104,Data_Validation!$A:$F,6,0)</f>
        <v>0</v>
      </c>
    </row>
    <row r="105" spans="1:24" ht="15" customHeight="1">
      <c r="A105" s="1430" t="s">
        <v>2102</v>
      </c>
      <c r="B105" s="1431">
        <v>1402</v>
      </c>
      <c r="C105" s="1433">
        <v>2883807.57</v>
      </c>
      <c r="D105" s="1433">
        <v>-1163312.8799999999</v>
      </c>
      <c r="E105" s="1433">
        <v>1720494.69</v>
      </c>
      <c r="F105" s="1430" t="s">
        <v>290</v>
      </c>
      <c r="G105" s="1430" t="s">
        <v>2103</v>
      </c>
      <c r="H105" s="1432"/>
      <c r="I105" s="1432"/>
      <c r="J105" s="1432"/>
      <c r="K105" s="1432"/>
      <c r="L105" s="150">
        <f t="shared" si="0"/>
        <v>1402</v>
      </c>
      <c r="M105" s="151" t="str">
        <f t="shared" si="1"/>
        <v>VEHIC. NEUFS VOLKS</v>
      </c>
      <c r="N105" s="152">
        <f>+IF(OR($Q105=Parametres!$G$2,$Q105=Parametres!$G$3),I105,C105)</f>
        <v>2883807.57</v>
      </c>
      <c r="O105" s="152">
        <f>+IF(OR($Q105=Parametres!$G$2,$Q105=Parametres!$G$3),J105,D105)</f>
        <v>-1163312.8799999999</v>
      </c>
      <c r="P105" s="152">
        <f>+IF(OR($Q105=Parametres!$G$2,$Q105=Parametres!$G$3),K105,E105)</f>
        <v>1720494.69</v>
      </c>
      <c r="Q105" s="151" t="str">
        <f t="shared" si="8"/>
        <v>2-Actifs</v>
      </c>
      <c r="R105" s="150" t="str">
        <f t="shared" si="8"/>
        <v>1402</v>
      </c>
      <c r="S105" s="151">
        <f t="shared" si="8"/>
        <v>0</v>
      </c>
      <c r="T105" s="153">
        <f>+VLOOKUP($L105,Data_Validation!$A:$D,1,0)</f>
        <v>1402</v>
      </c>
      <c r="U105" s="153" t="str">
        <f>+VLOOKUP($L105,Data_Validation!$A:$D,3,0)</f>
        <v>Bilan</v>
      </c>
      <c r="V105" s="153" t="str">
        <f>+VLOOKUP($L105,Data_Validation!$A:$D,4,0)</f>
        <v>Inventaire Véhicules Neufs</v>
      </c>
      <c r="W105" s="153" t="str">
        <f>+VLOOKUP($L105,Data_Validation!$A:$E,5,0)</f>
        <v>$</v>
      </c>
      <c r="X105" s="153">
        <f>+VLOOKUP($L105,Data_Validation!$A:$F,6,0)</f>
        <v>0</v>
      </c>
    </row>
    <row r="106" spans="1:24" ht="15" customHeight="1">
      <c r="A106" s="1430" t="s">
        <v>2468</v>
      </c>
      <c r="B106" s="1430" t="s">
        <v>2469</v>
      </c>
      <c r="C106" s="1432"/>
      <c r="D106" s="1432"/>
      <c r="E106" s="1432"/>
      <c r="F106" s="1430" t="s">
        <v>4</v>
      </c>
      <c r="G106" s="1430" t="s">
        <v>2103</v>
      </c>
      <c r="H106" s="1432"/>
      <c r="I106" s="1433">
        <v>76</v>
      </c>
      <c r="J106" s="1433">
        <v>-32</v>
      </c>
      <c r="K106" s="1433">
        <v>44</v>
      </c>
      <c r="L106" s="150" t="str">
        <f t="shared" si="0"/>
        <v>1402@</v>
      </c>
      <c r="M106" s="151" t="str">
        <f t="shared" si="1"/>
        <v># DE INVENTAIRE VEH.NEUFS VW</v>
      </c>
      <c r="N106" s="152">
        <f>+IF(OR($Q106=Parametres!$G$2,$Q106=Parametres!$G$3),I106,C106)</f>
        <v>76</v>
      </c>
      <c r="O106" s="569">
        <f>+IF(OR($Q106=Parametres!$G$2,$Q106=Parametres!$G$3),J106,D106)</f>
        <v>-32</v>
      </c>
      <c r="P106" s="152">
        <f>+IF(OR($Q106=Parametres!$G$2,$Q106=Parametres!$G$3),K106,E106)</f>
        <v>44</v>
      </c>
      <c r="Q106" s="151" t="str">
        <f t="shared" si="8"/>
        <v>10-Compte compteur</v>
      </c>
      <c r="R106" s="150" t="str">
        <f t="shared" si="8"/>
        <v>1402</v>
      </c>
      <c r="S106" s="151">
        <f t="shared" si="8"/>
        <v>0</v>
      </c>
      <c r="T106" s="153" t="str">
        <f>+VLOOKUP($L106,Data_Validation!$A:$D,1,0)</f>
        <v>1402@</v>
      </c>
      <c r="U106" s="153" t="str">
        <f>+VLOOKUP($L106,Data_Validation!$A:$D,3,0)</f>
        <v>Bilan</v>
      </c>
      <c r="V106" s="153">
        <f>+VLOOKUP($L106,Data_Validation!$A:$D,4,0)</f>
        <v>0</v>
      </c>
      <c r="W106" s="153" t="str">
        <f>+VLOOKUP($L106,Data_Validation!$A:$E,5,0)</f>
        <v>NB</v>
      </c>
      <c r="X106" s="153">
        <f>+VLOOKUP($L106,Data_Validation!$A:$F,6,0)</f>
        <v>0</v>
      </c>
    </row>
    <row r="107" spans="1:24" ht="15" customHeight="1">
      <c r="A107" s="1430" t="s">
        <v>2111</v>
      </c>
      <c r="B107" s="1431">
        <v>1403</v>
      </c>
      <c r="C107" s="1433">
        <v>-158633.5</v>
      </c>
      <c r="D107" s="1433">
        <v>-1800</v>
      </c>
      <c r="E107" s="1433">
        <v>-160433.5</v>
      </c>
      <c r="F107" s="1430" t="s">
        <v>290</v>
      </c>
      <c r="G107" s="1430" t="s">
        <v>2103</v>
      </c>
      <c r="H107" s="1432"/>
      <c r="I107" s="1432"/>
      <c r="J107" s="1432"/>
      <c r="K107" s="1432"/>
      <c r="L107" s="150">
        <f t="shared" si="0"/>
        <v>1403</v>
      </c>
      <c r="M107" s="151" t="str">
        <f t="shared" si="1"/>
        <v>BRUISING VOLKS VEH. NEUFS</v>
      </c>
      <c r="N107" s="152">
        <f>+IF(OR($Q107=Parametres!$G$2,$Q107=Parametres!$G$3),I107,C107)</f>
        <v>-158633.5</v>
      </c>
      <c r="O107" s="152">
        <f>+IF(OR($Q107=Parametres!$G$2,$Q107=Parametres!$G$3),J107,D107)</f>
        <v>-1800</v>
      </c>
      <c r="P107" s="152">
        <f>+IF(OR($Q107=Parametres!$G$2,$Q107=Parametres!$G$3),K107,E107)</f>
        <v>-160433.5</v>
      </c>
      <c r="Q107" s="151" t="str">
        <f t="shared" si="8"/>
        <v>2-Actifs</v>
      </c>
      <c r="R107" s="150" t="str">
        <f t="shared" si="8"/>
        <v>1402</v>
      </c>
      <c r="S107" s="151">
        <f t="shared" si="8"/>
        <v>0</v>
      </c>
      <c r="T107" s="153">
        <f>+VLOOKUP($L107,Data_Validation!$A:$D,1,0)</f>
        <v>1403</v>
      </c>
      <c r="U107" s="153" t="str">
        <f>+VLOOKUP($L107,Data_Validation!$A:$D,3,0)</f>
        <v>Bilan</v>
      </c>
      <c r="V107" s="153" t="str">
        <f>+VLOOKUP($L107,Data_Validation!$A:$D,4,0)</f>
        <v>Inventaire Véhicules Neufs</v>
      </c>
      <c r="W107" s="153" t="str">
        <f>+VLOOKUP($L107,Data_Validation!$A:$E,5,0)</f>
        <v>$</v>
      </c>
      <c r="X107" s="153">
        <f>+VLOOKUP($L107,Data_Validation!$A:$F,6,0)</f>
        <v>0</v>
      </c>
    </row>
    <row r="108" spans="1:24" ht="15" customHeight="1">
      <c r="A108" s="1430" t="s">
        <v>2752</v>
      </c>
      <c r="B108" s="1431">
        <v>1413</v>
      </c>
      <c r="C108" s="1433">
        <v>-76679.48</v>
      </c>
      <c r="D108" s="1433">
        <v>-4200</v>
      </c>
      <c r="E108" s="1433">
        <v>-80879.48</v>
      </c>
      <c r="F108" s="1430" t="s">
        <v>290</v>
      </c>
      <c r="G108" s="1430" t="s">
        <v>2753</v>
      </c>
      <c r="H108" s="1432"/>
      <c r="I108" s="1432"/>
      <c r="J108" s="1432"/>
      <c r="K108" s="1432"/>
      <c r="L108" s="150">
        <f t="shared" si="0"/>
        <v>1413</v>
      </c>
      <c r="M108" s="151" t="str">
        <f t="shared" si="1"/>
        <v>BRUISING USED CAR</v>
      </c>
      <c r="N108" s="152">
        <f>+IF(OR($Q108=Parametres!$G$2,$Q108=Parametres!$G$3),I108,C108)</f>
        <v>-76679.48</v>
      </c>
      <c r="O108" s="152">
        <f>+IF(OR($Q108=Parametres!$G$2,$Q108=Parametres!$G$3),J108,D108)</f>
        <v>-4200</v>
      </c>
      <c r="P108" s="152">
        <f>+IF(OR($Q108=Parametres!$G$2,$Q108=Parametres!$G$3),K108,E108)</f>
        <v>-80879.48</v>
      </c>
      <c r="Q108" s="151" t="str">
        <f t="shared" si="8"/>
        <v>2-Actifs</v>
      </c>
      <c r="R108" s="150" t="str">
        <f t="shared" si="8"/>
        <v>1413</v>
      </c>
      <c r="S108" s="151">
        <f t="shared" si="8"/>
        <v>0</v>
      </c>
      <c r="T108" s="153">
        <f>+VLOOKUP($L108,Data_Validation!$A:$D,1,0)</f>
        <v>1413</v>
      </c>
      <c r="U108" s="153" t="str">
        <f>+VLOOKUP($L108,Data_Validation!$A:$D,3,0)</f>
        <v>Bilan</v>
      </c>
      <c r="V108" s="153" t="str">
        <f>+VLOOKUP($L108,Data_Validation!$A:$D,4,0)</f>
        <v>Inventaire Véhicules Usagés</v>
      </c>
      <c r="W108" s="153" t="str">
        <f>+VLOOKUP($L108,Data_Validation!$A:$E,5,0)</f>
        <v>$</v>
      </c>
      <c r="X108" s="153">
        <f>+VLOOKUP($L108,Data_Validation!$A:$F,6,0)</f>
        <v>0</v>
      </c>
    </row>
    <row r="109" spans="1:24" ht="15.75" customHeight="1">
      <c r="A109" s="1430" t="s">
        <v>2817</v>
      </c>
      <c r="B109" s="1431">
        <v>1416</v>
      </c>
      <c r="C109" s="1433">
        <v>1754955.27</v>
      </c>
      <c r="D109" s="1433">
        <v>-417416.97</v>
      </c>
      <c r="E109" s="1433">
        <v>1337538.3</v>
      </c>
      <c r="F109" s="1430" t="s">
        <v>290</v>
      </c>
      <c r="G109" s="1430" t="s">
        <v>2472</v>
      </c>
      <c r="H109" s="1432"/>
      <c r="I109" s="1432"/>
      <c r="J109" s="1432"/>
      <c r="K109" s="1432"/>
      <c r="L109" s="150">
        <f t="shared" si="0"/>
        <v>1416</v>
      </c>
      <c r="M109" s="151" t="str">
        <f t="shared" si="1"/>
        <v>INV. VEH. USAGE VW</v>
      </c>
      <c r="N109" s="152">
        <f>+IF(OR($Q109=Parametres!$G$2,$Q109=Parametres!$G$3),I109,C109)</f>
        <v>1754955.27</v>
      </c>
      <c r="O109" s="569">
        <f>+IF(OR($Q109=Parametres!$G$2,$Q109=Parametres!$G$3),J109,D109)</f>
        <v>-417416.97</v>
      </c>
      <c r="P109" s="152">
        <f>+IF(OR($Q109=Parametres!$G$2,$Q109=Parametres!$G$3),K109,E109)</f>
        <v>1337538.3</v>
      </c>
      <c r="Q109" s="151" t="str">
        <f t="shared" si="8"/>
        <v>2-Actifs</v>
      </c>
      <c r="R109" s="150" t="str">
        <f t="shared" si="8"/>
        <v>1416</v>
      </c>
      <c r="S109" s="151">
        <f t="shared" si="8"/>
        <v>0</v>
      </c>
      <c r="T109" s="153">
        <f>+VLOOKUP($L109,Data_Validation!$A:$D,1,0)</f>
        <v>1416</v>
      </c>
      <c r="U109" s="153" t="str">
        <f>+VLOOKUP($L109,Data_Validation!$A:$D,3,0)</f>
        <v>Bilan</v>
      </c>
      <c r="V109" s="153" t="str">
        <f>+VLOOKUP($L109,Data_Validation!$A:$D,4,0)</f>
        <v>Inventaire Véhicules Usagés</v>
      </c>
      <c r="W109" s="153" t="str">
        <f>+VLOOKUP($L109,Data_Validation!$A:$E,5,0)</f>
        <v>$</v>
      </c>
      <c r="X109" s="153">
        <f>+VLOOKUP($L109,Data_Validation!$A:$F,6,0)</f>
        <v>0</v>
      </c>
    </row>
    <row r="110" spans="1:24" ht="15" customHeight="1">
      <c r="A110" s="1430" t="s">
        <v>2470</v>
      </c>
      <c r="B110" s="1430" t="s">
        <v>2471</v>
      </c>
      <c r="C110" s="1432"/>
      <c r="D110" s="1432"/>
      <c r="E110" s="1432"/>
      <c r="F110" s="1430" t="s">
        <v>4</v>
      </c>
      <c r="G110" s="1430" t="s">
        <v>2472</v>
      </c>
      <c r="H110" s="1432"/>
      <c r="I110" s="1433">
        <v>92</v>
      </c>
      <c r="J110" s="1433">
        <v>-20</v>
      </c>
      <c r="K110" s="1433">
        <v>72</v>
      </c>
      <c r="L110" s="150" t="str">
        <f t="shared" si="0"/>
        <v>1416@</v>
      </c>
      <c r="M110" s="151" t="str">
        <f t="shared" si="1"/>
        <v># DE INV. VEH. USAGE VW</v>
      </c>
      <c r="N110" s="152">
        <f>+IF(OR($Q110=Parametres!$G$2,$Q110=Parametres!$G$3),I110,C110)</f>
        <v>92</v>
      </c>
      <c r="O110" s="152">
        <f>+IF(OR($Q110=Parametres!$G$2,$Q110=Parametres!$G$3),J110,D110)</f>
        <v>-20</v>
      </c>
      <c r="P110" s="152">
        <f>+IF(OR($Q110=Parametres!$G$2,$Q110=Parametres!$G$3),K110,E110)</f>
        <v>72</v>
      </c>
      <c r="Q110" s="151" t="str">
        <f t="shared" si="8"/>
        <v>10-Compte compteur</v>
      </c>
      <c r="R110" s="150" t="str">
        <f t="shared" si="8"/>
        <v>1416</v>
      </c>
      <c r="S110" s="151">
        <f t="shared" si="8"/>
        <v>0</v>
      </c>
      <c r="T110" s="153" t="str">
        <f>+VLOOKUP($L110,Data_Validation!$A:$D,1,0)</f>
        <v>1416@</v>
      </c>
      <c r="U110" s="153" t="str">
        <f>+VLOOKUP($L110,Data_Validation!$A:$D,3,0)</f>
        <v>Bilan</v>
      </c>
      <c r="V110" s="153">
        <f>+VLOOKUP($L110,Data_Validation!$A:$D,4,0)</f>
        <v>0</v>
      </c>
      <c r="W110" s="153" t="str">
        <f>+VLOOKUP($L110,Data_Validation!$A:$E,5,0)</f>
        <v>NB</v>
      </c>
      <c r="X110" s="153">
        <f>+VLOOKUP($L110,Data_Validation!$A:$F,6,0)</f>
        <v>0</v>
      </c>
    </row>
    <row r="111" spans="1:24" ht="15" customHeight="1">
      <c r="A111" s="1430" t="s">
        <v>2886</v>
      </c>
      <c r="B111" s="1430" t="s">
        <v>2887</v>
      </c>
      <c r="C111" s="1432"/>
      <c r="D111" s="1432"/>
      <c r="E111" s="1432"/>
      <c r="F111" s="1430" t="s">
        <v>4</v>
      </c>
      <c r="G111" s="1430" t="s">
        <v>2888</v>
      </c>
      <c r="H111" s="1432"/>
      <c r="I111" s="1433">
        <v>1</v>
      </c>
      <c r="J111" s="1433">
        <v>0</v>
      </c>
      <c r="K111" s="1433">
        <v>1</v>
      </c>
      <c r="L111" s="150" t="str">
        <f t="shared" si="0"/>
        <v>1418@</v>
      </c>
      <c r="M111" s="151" t="str">
        <f t="shared" si="1"/>
        <v># DE INV.VEH.USAGE AUDI</v>
      </c>
      <c r="N111" s="152">
        <f>+IF(OR($Q111=Parametres!$G$2,$Q111=Parametres!$G$3),I111,C111)</f>
        <v>1</v>
      </c>
      <c r="O111" s="152">
        <f>+IF(OR($Q111=Parametres!$G$2,$Q111=Parametres!$G$3),J111,D111)</f>
        <v>0</v>
      </c>
      <c r="P111" s="152">
        <f>+IF(OR($Q111=Parametres!$G$2,$Q111=Parametres!$G$3),K111,E111)</f>
        <v>1</v>
      </c>
      <c r="Q111" s="151" t="str">
        <f t="shared" si="8"/>
        <v>10-Compte compteur</v>
      </c>
      <c r="R111" s="150" t="str">
        <f t="shared" si="8"/>
        <v>1418</v>
      </c>
      <c r="S111" s="151">
        <f t="shared" si="8"/>
        <v>0</v>
      </c>
      <c r="T111" s="153" t="str">
        <f>+VLOOKUP($L111,Data_Validation!$A:$D,1,0)</f>
        <v>1418@</v>
      </c>
      <c r="U111" s="153">
        <f>+VLOOKUP($L111,Data_Validation!$A:$D,3,0)</f>
        <v>0</v>
      </c>
      <c r="V111" s="153">
        <f>+VLOOKUP($L111,Data_Validation!$A:$D,4,0)</f>
        <v>0</v>
      </c>
      <c r="W111" s="153">
        <f>+VLOOKUP($L111,Data_Validation!$A:$E,5,0)</f>
        <v>0</v>
      </c>
      <c r="X111" s="153">
        <f>+VLOOKUP($L111,Data_Validation!$A:$F,6,0)</f>
        <v>0</v>
      </c>
    </row>
    <row r="112" spans="1:24" ht="15" customHeight="1">
      <c r="A112" s="1430" t="s">
        <v>2858</v>
      </c>
      <c r="B112" s="1431">
        <v>1423</v>
      </c>
      <c r="C112" s="1433">
        <v>-20587.22</v>
      </c>
      <c r="D112" s="1433">
        <v>3814.68</v>
      </c>
      <c r="E112" s="1433">
        <v>-16772.54</v>
      </c>
      <c r="F112" s="1430" t="s">
        <v>290</v>
      </c>
      <c r="G112" s="1430" t="s">
        <v>2859</v>
      </c>
      <c r="H112" s="1432"/>
      <c r="I112" s="1432"/>
      <c r="J112" s="1432"/>
      <c r="K112" s="1432"/>
      <c r="L112" s="150">
        <f t="shared" si="0"/>
        <v>1423</v>
      </c>
      <c r="M112" s="151" t="str">
        <f t="shared" si="1"/>
        <v>RESERVE DEMO</v>
      </c>
      <c r="N112" s="152">
        <f>+IF(OR($Q112=Parametres!$G$2,$Q112=Parametres!$G$3),I112,C112)</f>
        <v>-20587.22</v>
      </c>
      <c r="O112" s="152">
        <f>+IF(OR($Q112=Parametres!$G$2,$Q112=Parametres!$G$3),J112,D112)</f>
        <v>3814.68</v>
      </c>
      <c r="P112" s="152">
        <f>+IF(OR($Q112=Parametres!$G$2,$Q112=Parametres!$G$3),K112,E112)</f>
        <v>-16772.54</v>
      </c>
      <c r="Q112" s="151" t="str">
        <f t="shared" si="8"/>
        <v>2-Actifs</v>
      </c>
      <c r="R112" s="150" t="str">
        <f t="shared" si="8"/>
        <v>1423</v>
      </c>
      <c r="S112" s="151">
        <f t="shared" si="8"/>
        <v>0</v>
      </c>
      <c r="T112" s="153">
        <f>+VLOOKUP($L112,Data_Validation!$A:$D,1,0)</f>
        <v>1423</v>
      </c>
      <c r="U112" s="153" t="str">
        <f>+VLOOKUP($L112,Data_Validation!$A:$D,3,0)</f>
        <v>Bilan</v>
      </c>
      <c r="V112" s="153" t="str">
        <f>+VLOOKUP($L112,Data_Validation!$A:$D,4,0)</f>
        <v>Inventaire Véhicules Neufs</v>
      </c>
      <c r="W112" s="153" t="str">
        <f>+VLOOKUP($L112,Data_Validation!$A:$E,5,0)</f>
        <v>$</v>
      </c>
      <c r="X112" s="153">
        <f>+VLOOKUP($L112,Data_Validation!$A:$F,6,0)</f>
        <v>0</v>
      </c>
    </row>
    <row r="113" spans="1:24" ht="15.75" customHeight="1">
      <c r="A113" s="1430" t="s">
        <v>2860</v>
      </c>
      <c r="B113" s="1431">
        <v>1433</v>
      </c>
      <c r="C113" s="1433">
        <v>-47441.1</v>
      </c>
      <c r="D113" s="1433">
        <v>5045.42</v>
      </c>
      <c r="E113" s="1433">
        <v>-42395.68</v>
      </c>
      <c r="F113" s="1430" t="s">
        <v>290</v>
      </c>
      <c r="G113" s="1430" t="s">
        <v>2861</v>
      </c>
      <c r="H113" s="1235"/>
      <c r="I113" s="1236"/>
      <c r="J113" s="1236"/>
      <c r="K113" s="1236"/>
      <c r="L113" s="150">
        <f t="shared" si="0"/>
        <v>1433</v>
      </c>
      <c r="M113" s="151" t="str">
        <f t="shared" si="1"/>
        <v>RESERVE COURTOISIE</v>
      </c>
      <c r="N113" s="152">
        <f>+IF(OR($Q113=Parametres!$G$2,$Q113=Parametres!$G$3),I113,C113)</f>
        <v>-47441.1</v>
      </c>
      <c r="O113" s="569">
        <f>+IF(OR($Q113=Parametres!$G$2,$Q113=Parametres!$G$3),J113,D113)</f>
        <v>5045.42</v>
      </c>
      <c r="P113" s="152">
        <f>+IF(OR($Q113=Parametres!$G$2,$Q113=Parametres!$G$3),K113,E113)</f>
        <v>-42395.68</v>
      </c>
      <c r="Q113" s="151" t="str">
        <f t="shared" si="8"/>
        <v>2-Actifs</v>
      </c>
      <c r="R113" s="150" t="str">
        <f t="shared" si="8"/>
        <v>143</v>
      </c>
      <c r="S113" s="151">
        <f t="shared" si="8"/>
        <v>0</v>
      </c>
      <c r="T113" s="153">
        <f>+VLOOKUP($L113,Data_Validation!$A:$D,1,0)</f>
        <v>1433</v>
      </c>
      <c r="U113" s="153" t="str">
        <f>+VLOOKUP($L113,Data_Validation!$A:$D,3,0)</f>
        <v>Bilan</v>
      </c>
      <c r="V113" s="153" t="str">
        <f>+VLOOKUP($L113,Data_Validation!$A:$D,4,0)</f>
        <v>Inventaire Véhicules Neufs</v>
      </c>
      <c r="W113" s="153" t="str">
        <f>+VLOOKUP($L113,Data_Validation!$A:$E,5,0)</f>
        <v>$</v>
      </c>
      <c r="X113" s="153">
        <f>+VLOOKUP($L113,Data_Validation!$A:$F,6,0)</f>
        <v>0</v>
      </c>
    </row>
    <row r="114" spans="1:24" ht="15" customHeight="1">
      <c r="A114" s="1430" t="s">
        <v>2025</v>
      </c>
      <c r="B114" s="1431">
        <v>1442</v>
      </c>
      <c r="C114" s="1433">
        <v>293356.77</v>
      </c>
      <c r="D114" s="1433">
        <v>-91961.63</v>
      </c>
      <c r="E114" s="1433">
        <v>201395.14</v>
      </c>
      <c r="F114" s="1430" t="s">
        <v>290</v>
      </c>
      <c r="G114" s="1430" t="s">
        <v>2026</v>
      </c>
      <c r="H114" s="1235"/>
      <c r="I114" s="1236"/>
      <c r="J114" s="1236"/>
      <c r="K114" s="1236"/>
      <c r="L114" s="150">
        <f t="shared" si="0"/>
        <v>1442</v>
      </c>
      <c r="M114" s="573" t="str">
        <f t="shared" si="1"/>
        <v>PIECES &amp; ACCESSOIRES NEUFS</v>
      </c>
      <c r="N114" s="152">
        <f>+IF(OR($Q114=Parametres!$G$2,$Q114=Parametres!$G$3),I114,C114)</f>
        <v>293356.77</v>
      </c>
      <c r="O114" s="574">
        <f>+IF(OR($Q114=Parametres!$G$2,$Q114=Parametres!$G$3),J114,D114)</f>
        <v>-91961.63</v>
      </c>
      <c r="P114" s="575">
        <f>+IF(OR($Q114=Parametres!$G$2,$Q114=Parametres!$G$3),K114,E114)</f>
        <v>201395.14</v>
      </c>
      <c r="Q114" s="151" t="str">
        <f t="shared" ref="Q114:S129" si="9">+F114</f>
        <v>2-Actifs</v>
      </c>
      <c r="R114" s="150" t="str">
        <f t="shared" si="9"/>
        <v>1442</v>
      </c>
      <c r="S114" s="151">
        <f t="shared" si="9"/>
        <v>0</v>
      </c>
      <c r="T114" s="153">
        <f>+VLOOKUP($L114,Data_Validation!$A:$D,1,0)</f>
        <v>1442</v>
      </c>
      <c r="U114" s="153" t="str">
        <f>+VLOOKUP($L114,Data_Validation!$A:$D,3,0)</f>
        <v>Bilan</v>
      </c>
      <c r="V114" s="153" t="str">
        <f>+VLOOKUP($L114,Data_Validation!$A:$D,4,0)</f>
        <v>Inventaire Pièces, Pneus, Huile</v>
      </c>
      <c r="W114" s="153" t="str">
        <f>+VLOOKUP($L114,Data_Validation!$A:$E,5,0)</f>
        <v>$</v>
      </c>
      <c r="X114" s="153">
        <f>+VLOOKUP($L114,Data_Validation!$A:$F,6,0)</f>
        <v>0</v>
      </c>
    </row>
    <row r="115" spans="1:24" ht="15" customHeight="1">
      <c r="A115" s="1430" t="s">
        <v>2815</v>
      </c>
      <c r="B115" s="1431">
        <v>1452</v>
      </c>
      <c r="C115" s="1433">
        <v>26009.59</v>
      </c>
      <c r="D115" s="1433">
        <v>124084.36</v>
      </c>
      <c r="E115" s="1433">
        <v>150093.95000000001</v>
      </c>
      <c r="F115" s="1430" t="s">
        <v>290</v>
      </c>
      <c r="G115" s="1430" t="s">
        <v>2026</v>
      </c>
      <c r="H115" s="1235"/>
      <c r="I115" s="1236"/>
      <c r="J115" s="1236"/>
      <c r="K115" s="1236"/>
      <c r="L115" s="150">
        <f t="shared" si="0"/>
        <v>1452</v>
      </c>
      <c r="M115" s="151" t="str">
        <f t="shared" si="1"/>
        <v>PNEUS</v>
      </c>
      <c r="N115" s="152">
        <f>+IF(OR($Q115=Parametres!$G$2,$Q115=Parametres!$G$3),I115,C115)</f>
        <v>26009.59</v>
      </c>
      <c r="O115" s="152">
        <f>+IF(OR($Q115=Parametres!$G$2,$Q115=Parametres!$G$3),J115,D115)</f>
        <v>124084.36</v>
      </c>
      <c r="P115" s="152">
        <f>+IF(OR($Q115=Parametres!$G$2,$Q115=Parametres!$G$3),K115,E115)</f>
        <v>150093.95000000001</v>
      </c>
      <c r="Q115" s="151" t="str">
        <f t="shared" si="9"/>
        <v>2-Actifs</v>
      </c>
      <c r="R115" s="150" t="str">
        <f t="shared" si="9"/>
        <v>1442</v>
      </c>
      <c r="S115" s="151">
        <f t="shared" si="9"/>
        <v>0</v>
      </c>
      <c r="T115" s="153">
        <f>+VLOOKUP($L115,Data_Validation!$A:$D,1,0)</f>
        <v>1452</v>
      </c>
      <c r="U115" s="153" t="str">
        <f>+VLOOKUP($L115,Data_Validation!$A:$D,3,0)</f>
        <v>Bilan</v>
      </c>
      <c r="V115" s="153" t="str">
        <f>+VLOOKUP($L115,Data_Validation!$A:$D,4,0)</f>
        <v>Inventaire Pièces, Pneus, Huile</v>
      </c>
      <c r="W115" s="153" t="str">
        <f>+VLOOKUP($L115,Data_Validation!$A:$E,5,0)</f>
        <v>$</v>
      </c>
      <c r="X115" s="153">
        <f>+VLOOKUP($L115,Data_Validation!$A:$F,6,0)</f>
        <v>0</v>
      </c>
    </row>
    <row r="116" spans="1:24" ht="15" customHeight="1">
      <c r="A116" s="1430" t="s">
        <v>2731</v>
      </c>
      <c r="B116" s="1431">
        <v>1456</v>
      </c>
      <c r="C116" s="1433">
        <v>9495.41</v>
      </c>
      <c r="D116" s="1433">
        <v>8236.98</v>
      </c>
      <c r="E116" s="1433">
        <v>17732.39</v>
      </c>
      <c r="F116" s="1430" t="s">
        <v>290</v>
      </c>
      <c r="G116" s="1430" t="s">
        <v>2732</v>
      </c>
      <c r="H116" s="1235"/>
      <c r="I116" s="1236"/>
      <c r="J116" s="1236"/>
      <c r="K116" s="1236"/>
      <c r="L116" s="150">
        <f t="shared" si="0"/>
        <v>1456</v>
      </c>
      <c r="M116" s="151" t="str">
        <f t="shared" si="1"/>
        <v>PIECES VW NON ORIGINE</v>
      </c>
      <c r="N116" s="152">
        <f>+IF(OR($Q116=Parametres!$G$2,$Q116=Parametres!$G$3),I116,C116)</f>
        <v>9495.41</v>
      </c>
      <c r="O116" s="152">
        <f>+IF(OR($Q116=Parametres!$G$2,$Q116=Parametres!$G$3),J116,D116)</f>
        <v>8236.98</v>
      </c>
      <c r="P116" s="152">
        <f>+IF(OR($Q116=Parametres!$G$2,$Q116=Parametres!$G$3),K116,E116)</f>
        <v>17732.39</v>
      </c>
      <c r="Q116" s="151" t="str">
        <f t="shared" si="9"/>
        <v>2-Actifs</v>
      </c>
      <c r="R116" s="150" t="str">
        <f t="shared" si="9"/>
        <v>1456</v>
      </c>
      <c r="S116" s="151">
        <f t="shared" si="9"/>
        <v>0</v>
      </c>
      <c r="T116" s="153">
        <f>+VLOOKUP($L116,Data_Validation!$A:$D,1,0)</f>
        <v>1456</v>
      </c>
      <c r="U116" s="153" t="str">
        <f>+VLOOKUP($L116,Data_Validation!$A:$D,3,0)</f>
        <v>Bilan</v>
      </c>
      <c r="V116" s="153" t="str">
        <f>+VLOOKUP($L116,Data_Validation!$A:$D,4,0)</f>
        <v>Inventaire Pièces, Pneus, Huile</v>
      </c>
      <c r="W116" s="153" t="str">
        <f>+VLOOKUP($L116,Data_Validation!$A:$E,5,0)</f>
        <v>$</v>
      </c>
      <c r="X116" s="153">
        <f>+VLOOKUP($L116,Data_Validation!$A:$F,6,0)</f>
        <v>0</v>
      </c>
    </row>
    <row r="117" spans="1:24" ht="15.75" customHeight="1">
      <c r="A117" s="1430" t="s">
        <v>2580</v>
      </c>
      <c r="B117" s="1431">
        <v>1472</v>
      </c>
      <c r="C117" s="1433">
        <v>3788.32</v>
      </c>
      <c r="D117" s="1433">
        <v>4148.24</v>
      </c>
      <c r="E117" s="1433">
        <v>7936.56</v>
      </c>
      <c r="F117" s="1430" t="s">
        <v>290</v>
      </c>
      <c r="G117" s="1430" t="s">
        <v>2581</v>
      </c>
      <c r="H117" s="1235"/>
      <c r="I117" s="1236"/>
      <c r="J117" s="1236"/>
      <c r="K117" s="1236"/>
      <c r="L117" s="150">
        <f t="shared" si="0"/>
        <v>1472</v>
      </c>
      <c r="M117" s="573" t="str">
        <f t="shared" si="1"/>
        <v>WIP M-O VW</v>
      </c>
      <c r="N117" s="152">
        <f>+IF(OR($Q117=Parametres!$G$2,$Q117=Parametres!$G$3),I117,C117)</f>
        <v>3788.32</v>
      </c>
      <c r="O117" s="574">
        <f>+IF(OR($Q117=Parametres!$G$2,$Q117=Parametres!$G$3),J117,D117)</f>
        <v>4148.24</v>
      </c>
      <c r="P117" s="575">
        <f>+IF(OR($Q117=Parametres!$G$2,$Q117=Parametres!$G$3),K117,E117)</f>
        <v>7936.56</v>
      </c>
      <c r="Q117" s="151" t="str">
        <f t="shared" si="9"/>
        <v>2-Actifs</v>
      </c>
      <c r="R117" s="150" t="str">
        <f t="shared" si="9"/>
        <v>1472</v>
      </c>
      <c r="S117" s="151">
        <f t="shared" si="9"/>
        <v>0</v>
      </c>
      <c r="T117" s="153">
        <f>+VLOOKUP($L117,Data_Validation!$A:$D,1,0)</f>
        <v>1472</v>
      </c>
      <c r="U117" s="153" t="str">
        <f>+VLOOKUP($L117,Data_Validation!$A:$D,3,0)</f>
        <v>Bilan</v>
      </c>
      <c r="V117" s="153" t="str">
        <f>+VLOOKUP($L117,Data_Validation!$A:$D,4,0)</f>
        <v>Travaux en Cours</v>
      </c>
      <c r="W117" s="153" t="str">
        <f>+VLOOKUP($L117,Data_Validation!$A:$E,5,0)</f>
        <v>$</v>
      </c>
      <c r="X117" s="153">
        <f>+VLOOKUP($L117,Data_Validation!$A:$F,6,0)</f>
        <v>0</v>
      </c>
    </row>
    <row r="118" spans="1:24" ht="15" customHeight="1">
      <c r="A118" s="1430" t="s">
        <v>2754</v>
      </c>
      <c r="B118" s="1431">
        <v>1474</v>
      </c>
      <c r="C118" s="1433">
        <v>12324.55</v>
      </c>
      <c r="D118" s="1433">
        <v>14434.43</v>
      </c>
      <c r="E118" s="1433">
        <v>26758.98</v>
      </c>
      <c r="F118" s="1430" t="s">
        <v>290</v>
      </c>
      <c r="G118" s="1430" t="s">
        <v>2581</v>
      </c>
      <c r="H118" s="1235"/>
      <c r="I118" s="1236"/>
      <c r="J118" s="1236"/>
      <c r="K118" s="1236"/>
      <c r="L118" s="150">
        <f t="shared" si="0"/>
        <v>1474</v>
      </c>
      <c r="M118" s="151" t="str">
        <f t="shared" si="1"/>
        <v>INVENTAIRE SOUS-TRAITANTS</v>
      </c>
      <c r="N118" s="152">
        <f>+IF(OR($Q118=Parametres!$G$2,$Q118=Parametres!$G$3),I118,C118)</f>
        <v>12324.55</v>
      </c>
      <c r="O118" s="569">
        <f>+IF(OR($Q118=Parametres!$G$2,$Q118=Parametres!$G$3),J118,D118)</f>
        <v>14434.43</v>
      </c>
      <c r="P118" s="152">
        <f>+IF(OR($Q118=Parametres!$G$2,$Q118=Parametres!$G$3),K118,E118)</f>
        <v>26758.98</v>
      </c>
      <c r="Q118" s="151" t="str">
        <f t="shared" si="9"/>
        <v>2-Actifs</v>
      </c>
      <c r="R118" s="150" t="str">
        <f t="shared" si="9"/>
        <v>1472</v>
      </c>
      <c r="S118" s="151">
        <f t="shared" si="9"/>
        <v>0</v>
      </c>
      <c r="T118" s="153">
        <f>+VLOOKUP($L118,Data_Validation!$A:$D,1,0)</f>
        <v>1474</v>
      </c>
      <c r="U118" s="153" t="str">
        <f>+VLOOKUP($L118,Data_Validation!$A:$D,3,0)</f>
        <v>Bilan</v>
      </c>
      <c r="V118" s="153" t="str">
        <f>+VLOOKUP($L118,Data_Validation!$A:$D,4,0)</f>
        <v>Sous-Traitance</v>
      </c>
      <c r="W118" s="153" t="str">
        <f>+VLOOKUP($L118,Data_Validation!$A:$E,5,0)</f>
        <v>$</v>
      </c>
      <c r="X118" s="153">
        <f>+VLOOKUP($L118,Data_Validation!$A:$F,6,0)</f>
        <v>0</v>
      </c>
    </row>
    <row r="119" spans="1:24" ht="15" customHeight="1">
      <c r="A119" s="1430" t="s">
        <v>2133</v>
      </c>
      <c r="B119" s="1431">
        <v>1492</v>
      </c>
      <c r="C119" s="1433">
        <v>19115.38</v>
      </c>
      <c r="D119" s="1433">
        <v>-1052.08</v>
      </c>
      <c r="E119" s="1433">
        <v>18063.3</v>
      </c>
      <c r="F119" s="1430" t="s">
        <v>290</v>
      </c>
      <c r="G119" s="1430" t="s">
        <v>2026</v>
      </c>
      <c r="H119" s="1235"/>
      <c r="I119" s="1236"/>
      <c r="J119" s="1236"/>
      <c r="K119" s="1236"/>
      <c r="L119" s="150">
        <f t="shared" si="0"/>
        <v>1492</v>
      </c>
      <c r="M119" s="151" t="str">
        <f t="shared" si="1"/>
        <v>CARBURANT, HUILE, GRAISSE</v>
      </c>
      <c r="N119" s="152">
        <f>+IF(OR($Q119=Parametres!$G$2,$Q119=Parametres!$G$3),I119,C119)</f>
        <v>19115.38</v>
      </c>
      <c r="O119" s="569">
        <f>+IF(OR($Q119=Parametres!$G$2,$Q119=Parametres!$G$3),J119,D119)</f>
        <v>-1052.08</v>
      </c>
      <c r="P119" s="152">
        <f>+IF(OR($Q119=Parametres!$G$2,$Q119=Parametres!$G$3),K119,E119)</f>
        <v>18063.3</v>
      </c>
      <c r="Q119" s="151" t="str">
        <f t="shared" si="9"/>
        <v>2-Actifs</v>
      </c>
      <c r="R119" s="150" t="str">
        <f t="shared" si="9"/>
        <v>1442</v>
      </c>
      <c r="S119" s="151">
        <f t="shared" si="9"/>
        <v>0</v>
      </c>
      <c r="T119" s="153">
        <f>+VLOOKUP($L119,Data_Validation!$A:$D,1,0)</f>
        <v>1492</v>
      </c>
      <c r="U119" s="153" t="str">
        <f>+VLOOKUP($L119,Data_Validation!$A:$D,3,0)</f>
        <v>Bilan</v>
      </c>
      <c r="V119" s="153" t="str">
        <f>+VLOOKUP($L119,Data_Validation!$A:$D,4,0)</f>
        <v>Inventaire Pièces, Pneus, Huile</v>
      </c>
      <c r="W119" s="153" t="str">
        <f>+VLOOKUP($L119,Data_Validation!$A:$E,5,0)</f>
        <v>$</v>
      </c>
      <c r="X119" s="153">
        <f>+VLOOKUP($L119,Data_Validation!$A:$F,6,0)</f>
        <v>0</v>
      </c>
    </row>
    <row r="120" spans="1:24" ht="15" customHeight="1">
      <c r="A120" s="1430" t="s">
        <v>2097</v>
      </c>
      <c r="B120" s="1431">
        <v>1502</v>
      </c>
      <c r="C120" s="1433">
        <v>-1104.8499999999999</v>
      </c>
      <c r="D120" s="1433">
        <v>1104.8499999999999</v>
      </c>
      <c r="E120" s="1433">
        <v>0</v>
      </c>
      <c r="F120" s="1430" t="s">
        <v>290</v>
      </c>
      <c r="G120" s="1430" t="s">
        <v>2099</v>
      </c>
      <c r="H120" s="1235"/>
      <c r="I120" s="1236"/>
      <c r="J120" s="1236"/>
      <c r="K120" s="1236"/>
      <c r="L120" s="150">
        <f t="shared" si="0"/>
        <v>1502</v>
      </c>
      <c r="M120" s="151" t="str">
        <f t="shared" si="1"/>
        <v>FPA PUB.VEHICULES NEUFS</v>
      </c>
      <c r="N120" s="152">
        <f>+IF(OR($Q120=Parametres!$G$2,$Q120=Parametres!$G$3),I120,C120)</f>
        <v>-1104.8499999999999</v>
      </c>
      <c r="O120" s="152">
        <f>+IF(OR($Q120=Parametres!$G$2,$Q120=Parametres!$G$3),J120,D120)</f>
        <v>1104.8499999999999</v>
      </c>
      <c r="P120" s="152">
        <f>+IF(OR($Q120=Parametres!$G$2,$Q120=Parametres!$G$3),K120,E120)</f>
        <v>0</v>
      </c>
      <c r="Q120" s="151" t="str">
        <f t="shared" si="9"/>
        <v>2-Actifs</v>
      </c>
      <c r="R120" s="150" t="str">
        <f t="shared" si="9"/>
        <v>1500</v>
      </c>
      <c r="S120" s="151">
        <f t="shared" si="9"/>
        <v>0</v>
      </c>
      <c r="T120" s="153">
        <f>+VLOOKUP($L120,Data_Validation!$A:$D,1,0)</f>
        <v>1502</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430" t="s">
        <v>2123</v>
      </c>
      <c r="B121" s="1431">
        <v>1504</v>
      </c>
      <c r="C121" s="1433">
        <v>-1699</v>
      </c>
      <c r="D121" s="1433">
        <v>1699</v>
      </c>
      <c r="E121" s="1433">
        <v>0</v>
      </c>
      <c r="F121" s="1430" t="s">
        <v>290</v>
      </c>
      <c r="G121" s="1430" t="s">
        <v>2099</v>
      </c>
      <c r="H121" s="1235"/>
      <c r="I121" s="1236"/>
      <c r="J121" s="1236"/>
      <c r="K121" s="1236"/>
      <c r="L121" s="150">
        <f t="shared" si="0"/>
        <v>1504</v>
      </c>
      <c r="M121" s="151" t="str">
        <f t="shared" si="1"/>
        <v>PUBLICITE VEH USAGES</v>
      </c>
      <c r="N121" s="152">
        <f>+IF(OR($Q121=Parametres!$G$2,$Q121=Parametres!$G$3),I121,C121)</f>
        <v>-1699</v>
      </c>
      <c r="O121" s="152">
        <f>+IF(OR($Q121=Parametres!$G$2,$Q121=Parametres!$G$3),J121,D121)</f>
        <v>1699</v>
      </c>
      <c r="P121" s="152">
        <f>+IF(OR($Q121=Parametres!$G$2,$Q121=Parametres!$G$3),K121,E121)</f>
        <v>0</v>
      </c>
      <c r="Q121" s="151" t="str">
        <f t="shared" si="9"/>
        <v>2-Actifs</v>
      </c>
      <c r="R121" s="150" t="str">
        <f t="shared" si="9"/>
        <v>1500</v>
      </c>
      <c r="S121" s="151">
        <f t="shared" si="9"/>
        <v>0</v>
      </c>
      <c r="T121" s="153">
        <f>+VLOOKUP($L121,Data_Validation!$A:$D,1,0)</f>
        <v>1504</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30" t="s">
        <v>2797</v>
      </c>
      <c r="B122" s="1431">
        <v>1506</v>
      </c>
      <c r="C122" s="1433">
        <v>-4454.1499999999996</v>
      </c>
      <c r="D122" s="1433">
        <v>4454.1499999999996</v>
      </c>
      <c r="E122" s="1433">
        <v>0</v>
      </c>
      <c r="F122" s="1430" t="s">
        <v>290</v>
      </c>
      <c r="G122" s="1430" t="s">
        <v>2099</v>
      </c>
      <c r="H122" s="1235"/>
      <c r="I122" s="1236"/>
      <c r="J122" s="1236"/>
      <c r="K122" s="1236"/>
      <c r="L122" s="150">
        <f t="shared" si="0"/>
        <v>1506</v>
      </c>
      <c r="M122" s="151" t="str">
        <f t="shared" si="1"/>
        <v>FPA PUBLICITE SERVICE</v>
      </c>
      <c r="N122" s="152">
        <f>+IF(OR($Q122=Parametres!$G$2,$Q122=Parametres!$G$3),I122,C122)</f>
        <v>-4454.1499999999996</v>
      </c>
      <c r="O122" s="152">
        <f>+IF(OR($Q122=Parametres!$G$2,$Q122=Parametres!$G$3),J122,D122)</f>
        <v>4454.1499999999996</v>
      </c>
      <c r="P122" s="152">
        <f>+IF(OR($Q122=Parametres!$G$2,$Q122=Parametres!$G$3),K122,E122)</f>
        <v>0</v>
      </c>
      <c r="Q122" s="151" t="str">
        <f t="shared" si="9"/>
        <v>2-Actifs</v>
      </c>
      <c r="R122" s="150" t="str">
        <f t="shared" si="9"/>
        <v>1500</v>
      </c>
      <c r="S122" s="151">
        <f t="shared" si="9"/>
        <v>0</v>
      </c>
      <c r="T122" s="153">
        <f>+VLOOKUP($L122,Data_Validation!$A:$D,1,0)</f>
        <v>1506</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430" t="s">
        <v>2633</v>
      </c>
      <c r="B123" s="1431">
        <v>1510</v>
      </c>
      <c r="C123" s="1433">
        <v>2959.95</v>
      </c>
      <c r="D123" s="1433">
        <v>-210</v>
      </c>
      <c r="E123" s="1433">
        <v>2749.95</v>
      </c>
      <c r="F123" s="1430" t="s">
        <v>290</v>
      </c>
      <c r="G123" s="1430" t="s">
        <v>2099</v>
      </c>
      <c r="H123" s="1235"/>
      <c r="I123" s="1236"/>
      <c r="J123" s="1236"/>
      <c r="K123" s="1236"/>
      <c r="L123" s="150">
        <f t="shared" si="0"/>
        <v>1510</v>
      </c>
      <c r="M123" s="151" t="str">
        <f t="shared" si="1"/>
        <v>DIAMOND KOTE (NANO)</v>
      </c>
      <c r="N123" s="152">
        <f>+IF(OR($Q123=Parametres!$G$2,$Q123=Parametres!$G$3),I123,C123)</f>
        <v>2959.95</v>
      </c>
      <c r="O123" s="152">
        <f>+IF(OR($Q123=Parametres!$G$2,$Q123=Parametres!$G$3),J123,D123)</f>
        <v>-210</v>
      </c>
      <c r="P123" s="152">
        <f>+IF(OR($Q123=Parametres!$G$2,$Q123=Parametres!$G$3),K123,E123)</f>
        <v>2749.95</v>
      </c>
      <c r="Q123" s="151" t="str">
        <f t="shared" si="9"/>
        <v>2-Actifs</v>
      </c>
      <c r="R123" s="150" t="str">
        <f t="shared" si="9"/>
        <v>1500</v>
      </c>
      <c r="S123" s="151">
        <f t="shared" si="9"/>
        <v>0</v>
      </c>
      <c r="T123" s="153">
        <f>+VLOOKUP($L123,Data_Validation!$A:$D,1,0)</f>
        <v>1510</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430" t="s">
        <v>2145</v>
      </c>
      <c r="B124" s="1431">
        <v>1520</v>
      </c>
      <c r="C124" s="1433">
        <v>1425.7</v>
      </c>
      <c r="D124" s="1433">
        <v>-1774.21</v>
      </c>
      <c r="E124" s="1433">
        <v>-348.51</v>
      </c>
      <c r="F124" s="1430" t="s">
        <v>290</v>
      </c>
      <c r="G124" s="1430" t="s">
        <v>2099</v>
      </c>
      <c r="H124" s="1235"/>
      <c r="I124" s="1236"/>
      <c r="J124" s="1236"/>
      <c r="K124" s="1236"/>
      <c r="L124" s="150">
        <f t="shared" si="0"/>
        <v>1520</v>
      </c>
      <c r="M124" s="151" t="str">
        <f t="shared" si="1"/>
        <v>FPA IMMATRICULATION</v>
      </c>
      <c r="N124" s="152">
        <f>+IF(OR($Q124=Parametres!$G$2,$Q124=Parametres!$G$3),I124,C124)</f>
        <v>1425.7</v>
      </c>
      <c r="O124" s="152">
        <f>+IF(OR($Q124=Parametres!$G$2,$Q124=Parametres!$G$3),J124,D124)</f>
        <v>-1774.21</v>
      </c>
      <c r="P124" s="152">
        <f>+IF(OR($Q124=Parametres!$G$2,$Q124=Parametres!$G$3),K124,E124)</f>
        <v>-348.51</v>
      </c>
      <c r="Q124" s="151" t="str">
        <f t="shared" si="9"/>
        <v>2-Actifs</v>
      </c>
      <c r="R124" s="150" t="str">
        <f t="shared" si="9"/>
        <v>1500</v>
      </c>
      <c r="S124" s="151">
        <f t="shared" si="9"/>
        <v>0</v>
      </c>
      <c r="T124" s="153">
        <f>+VLOOKUP($L124,Data_Validation!$A:$D,1,0)</f>
        <v>1520</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0" t="s">
        <v>2596</v>
      </c>
      <c r="B125" s="1431">
        <v>1530</v>
      </c>
      <c r="C125" s="1433">
        <v>-85</v>
      </c>
      <c r="D125" s="1433">
        <v>85</v>
      </c>
      <c r="E125" s="1433">
        <v>0</v>
      </c>
      <c r="F125" s="1430" t="s">
        <v>290</v>
      </c>
      <c r="G125" s="1430" t="s">
        <v>2099</v>
      </c>
      <c r="H125" s="1235"/>
      <c r="I125" s="1236"/>
      <c r="J125" s="1236"/>
      <c r="K125" s="1236"/>
      <c r="L125" s="150">
        <f t="shared" si="0"/>
        <v>1530</v>
      </c>
      <c r="M125" s="151" t="str">
        <f t="shared" si="1"/>
        <v>FPA PAPETERIE</v>
      </c>
      <c r="N125" s="152">
        <f>+IF(OR($Q125=Parametres!$G$2,$Q125=Parametres!$G$3),I125,C125)</f>
        <v>-85</v>
      </c>
      <c r="O125" s="569">
        <f>+IF(OR($Q125=Parametres!$G$2,$Q125=Parametres!$G$3),J125,D125)</f>
        <v>85</v>
      </c>
      <c r="P125" s="152">
        <f>+IF(OR($Q125=Parametres!$G$2,$Q125=Parametres!$G$3),K125,E125)</f>
        <v>0</v>
      </c>
      <c r="Q125" s="151" t="str">
        <f t="shared" si="9"/>
        <v>2-Actifs</v>
      </c>
      <c r="R125" s="150" t="str">
        <f t="shared" si="9"/>
        <v>1500</v>
      </c>
      <c r="S125" s="151">
        <f t="shared" si="9"/>
        <v>0</v>
      </c>
      <c r="T125" s="153">
        <f>+VLOOKUP($L125,Data_Validation!$A:$D,1,0)</f>
        <v>1530</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0" t="s">
        <v>2776</v>
      </c>
      <c r="B126" s="1431">
        <v>1540</v>
      </c>
      <c r="C126" s="1433">
        <v>479.5</v>
      </c>
      <c r="D126" s="1433">
        <v>-479.5</v>
      </c>
      <c r="E126" s="1433">
        <v>0</v>
      </c>
      <c r="F126" s="1430" t="s">
        <v>290</v>
      </c>
      <c r="G126" s="1430" t="s">
        <v>2099</v>
      </c>
      <c r="H126" s="1235"/>
      <c r="I126" s="1236"/>
      <c r="J126" s="1236"/>
      <c r="K126" s="1236"/>
      <c r="L126" s="150">
        <f t="shared" si="0"/>
        <v>1540</v>
      </c>
      <c r="M126" s="151" t="str">
        <f t="shared" si="1"/>
        <v>FPA CONTRATS DE SERVICES</v>
      </c>
      <c r="N126" s="152">
        <f>+IF(OR($Q126=Parametres!$G$2,$Q126=Parametres!$G$3),I126,C126)</f>
        <v>479.5</v>
      </c>
      <c r="O126" s="569">
        <f>+IF(OR($Q126=Parametres!$G$2,$Q126=Parametres!$G$3),J126,D126)</f>
        <v>-479.5</v>
      </c>
      <c r="P126" s="152">
        <f>+IF(OR($Q126=Parametres!$G$2,$Q126=Parametres!$G$3),K126,E126)</f>
        <v>0</v>
      </c>
      <c r="Q126" s="151" t="str">
        <f t="shared" si="9"/>
        <v>2-Actifs</v>
      </c>
      <c r="R126" s="150" t="str">
        <f t="shared" si="9"/>
        <v>1500</v>
      </c>
      <c r="S126" s="151">
        <f t="shared" si="9"/>
        <v>0</v>
      </c>
      <c r="T126" s="153">
        <f>+VLOOKUP($L126,Data_Validation!$A:$D,1,0)</f>
        <v>1540</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430" t="s">
        <v>2194</v>
      </c>
      <c r="B127" s="1431">
        <v>1544</v>
      </c>
      <c r="C127" s="1433">
        <v>-3525.13</v>
      </c>
      <c r="D127" s="1433">
        <v>0</v>
      </c>
      <c r="E127" s="1433">
        <v>-3525.13</v>
      </c>
      <c r="F127" s="1430" t="s">
        <v>290</v>
      </c>
      <c r="G127" s="1430" t="s">
        <v>2099</v>
      </c>
      <c r="H127" s="1235"/>
      <c r="I127" s="1236"/>
      <c r="J127" s="1236"/>
      <c r="K127" s="1236"/>
      <c r="L127" s="150">
        <f t="shared" si="0"/>
        <v>1544</v>
      </c>
      <c r="M127" s="151" t="str">
        <f t="shared" si="1"/>
        <v>FPA GAZ METROPOLITAIN</v>
      </c>
      <c r="N127" s="152">
        <f>+IF(OR($Q127=Parametres!$G$2,$Q127=Parametres!$G$3),I127,C127)</f>
        <v>-3525.13</v>
      </c>
      <c r="O127" s="152">
        <f>+IF(OR($Q127=Parametres!$G$2,$Q127=Parametres!$G$3),J127,D127)</f>
        <v>0</v>
      </c>
      <c r="P127" s="152">
        <f>+IF(OR($Q127=Parametres!$G$2,$Q127=Parametres!$G$3),K127,E127)</f>
        <v>-3525.13</v>
      </c>
      <c r="Q127" s="151" t="str">
        <f t="shared" si="9"/>
        <v>2-Actifs</v>
      </c>
      <c r="R127" s="150" t="str">
        <f t="shared" si="9"/>
        <v>1500</v>
      </c>
      <c r="S127" s="151">
        <f t="shared" si="9"/>
        <v>0</v>
      </c>
      <c r="T127" s="153">
        <f>+VLOOKUP($L127,Data_Validation!$A:$D,1,0)</f>
        <v>1544</v>
      </c>
      <c r="U127" s="153" t="str">
        <f>+VLOOKUP($L127,Data_Validation!$A:$D,3,0)</f>
        <v>Bilan</v>
      </c>
      <c r="V127" s="153" t="str">
        <f>+VLOOKUP($L127,Data_Validation!$A:$D,4,0)</f>
        <v>Autres Courus</v>
      </c>
      <c r="W127" s="153" t="str">
        <f>+VLOOKUP($L127,Data_Validation!$A:$E,5,0)</f>
        <v>$</v>
      </c>
      <c r="X127" s="153">
        <f>+VLOOKUP($L127,Data_Validation!$A:$F,6,0)</f>
        <v>0</v>
      </c>
    </row>
    <row r="128" spans="1:24" ht="15" customHeight="1">
      <c r="A128" s="1430" t="s">
        <v>2115</v>
      </c>
      <c r="B128" s="1431">
        <v>1552</v>
      </c>
      <c r="C128" s="1433">
        <v>22701.35</v>
      </c>
      <c r="D128" s="1433">
        <v>-1329.03</v>
      </c>
      <c r="E128" s="1433">
        <v>21372.32</v>
      </c>
      <c r="F128" s="1430" t="s">
        <v>290</v>
      </c>
      <c r="G128" s="1430" t="s">
        <v>2099</v>
      </c>
      <c r="H128" s="1235"/>
      <c r="I128" s="1236"/>
      <c r="J128" s="1236"/>
      <c r="K128" s="1236"/>
      <c r="L128" s="150">
        <f t="shared" si="0"/>
        <v>1552</v>
      </c>
      <c r="M128" s="573" t="str">
        <f t="shared" si="1"/>
        <v>FPA C.S.S.T.</v>
      </c>
      <c r="N128" s="152">
        <f>+IF(OR($Q128=Parametres!$G$2,$Q128=Parametres!$G$3),I128,C128)</f>
        <v>22701.35</v>
      </c>
      <c r="O128" s="574">
        <f>+IF(OR($Q128=Parametres!$G$2,$Q128=Parametres!$G$3),J128,D128)</f>
        <v>-1329.03</v>
      </c>
      <c r="P128" s="575">
        <f>+IF(OR($Q128=Parametres!$G$2,$Q128=Parametres!$G$3),K128,E128)</f>
        <v>21372.32</v>
      </c>
      <c r="Q128" s="151" t="str">
        <f t="shared" si="9"/>
        <v>2-Actifs</v>
      </c>
      <c r="R128" s="150" t="str">
        <f t="shared" si="9"/>
        <v>1500</v>
      </c>
      <c r="S128" s="151">
        <f t="shared" si="9"/>
        <v>0</v>
      </c>
      <c r="T128" s="153">
        <f>+VLOOKUP($L128,Data_Validation!$A:$D,1,0)</f>
        <v>1552</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430" t="s">
        <v>2109</v>
      </c>
      <c r="B129" s="1431">
        <v>1582</v>
      </c>
      <c r="C129" s="1433">
        <v>13834.11</v>
      </c>
      <c r="D129" s="1433">
        <v>-7699.3</v>
      </c>
      <c r="E129" s="1433">
        <v>6134.81</v>
      </c>
      <c r="F129" s="1430" t="s">
        <v>290</v>
      </c>
      <c r="G129" s="1430" t="s">
        <v>2099</v>
      </c>
      <c r="H129" s="1235"/>
      <c r="I129" s="1236"/>
      <c r="J129" s="1236"/>
      <c r="K129" s="1236"/>
      <c r="L129" s="150">
        <f t="shared" si="0"/>
        <v>1582</v>
      </c>
      <c r="M129" s="151" t="str">
        <f t="shared" si="1"/>
        <v>FPA TAXES MUNICIPALES</v>
      </c>
      <c r="N129" s="152">
        <f>+IF(OR($Q129=Parametres!$G$2,$Q129=Parametres!$G$3),I129,C129)</f>
        <v>13834.11</v>
      </c>
      <c r="O129" s="152">
        <f>+IF(OR($Q129=Parametres!$G$2,$Q129=Parametres!$G$3),J129,D129)</f>
        <v>-7699.3</v>
      </c>
      <c r="P129" s="152">
        <f>+IF(OR($Q129=Parametres!$G$2,$Q129=Parametres!$G$3),K129,E129)</f>
        <v>6134.81</v>
      </c>
      <c r="Q129" s="151" t="str">
        <f t="shared" si="9"/>
        <v>2-Actifs</v>
      </c>
      <c r="R129" s="150" t="str">
        <f t="shared" si="9"/>
        <v>1500</v>
      </c>
      <c r="S129" s="151">
        <f t="shared" si="9"/>
        <v>0</v>
      </c>
      <c r="T129" s="153">
        <f>+VLOOKUP($L129,Data_Validation!$A:$D,1,0)</f>
        <v>1582</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430" t="s">
        <v>2170</v>
      </c>
      <c r="B130" s="1431">
        <v>1586</v>
      </c>
      <c r="C130" s="1433">
        <v>715.74</v>
      </c>
      <c r="D130" s="1433">
        <v>1512.03</v>
      </c>
      <c r="E130" s="1433">
        <v>2227.77</v>
      </c>
      <c r="F130" s="1430" t="s">
        <v>290</v>
      </c>
      <c r="G130" s="1430" t="s">
        <v>2099</v>
      </c>
      <c r="H130" s="1235"/>
      <c r="I130" s="1236"/>
      <c r="J130" s="1236"/>
      <c r="K130" s="1236"/>
      <c r="L130" s="150">
        <f t="shared" si="0"/>
        <v>1586</v>
      </c>
      <c r="M130" s="151" t="str">
        <f t="shared" si="1"/>
        <v>FPA TAXES SCOLAIRES</v>
      </c>
      <c r="N130" s="152">
        <f>+IF(OR($Q130=Parametres!$G$2,$Q130=Parametres!$G$3),I130,C130)</f>
        <v>715.74</v>
      </c>
      <c r="O130" s="152">
        <f>+IF(OR($Q130=Parametres!$G$2,$Q130=Parametres!$G$3),J130,D130)</f>
        <v>1512.03</v>
      </c>
      <c r="P130" s="152">
        <f>+IF(OR($Q130=Parametres!$G$2,$Q130=Parametres!$G$3),K130,E130)</f>
        <v>2227.77</v>
      </c>
      <c r="Q130" s="151" t="str">
        <f t="shared" ref="Q130:S145" si="10">+F130</f>
        <v>2-Actifs</v>
      </c>
      <c r="R130" s="150" t="str">
        <f t="shared" si="10"/>
        <v>1500</v>
      </c>
      <c r="S130" s="151">
        <f t="shared" si="10"/>
        <v>0</v>
      </c>
      <c r="T130" s="153">
        <f>+VLOOKUP($L130,Data_Validation!$A:$D,1,0)</f>
        <v>1586</v>
      </c>
      <c r="U130" s="153" t="str">
        <f>+VLOOKUP($L130,Data_Validation!$A:$D,3,0)</f>
        <v>Bilan</v>
      </c>
      <c r="V130" s="153" t="str">
        <f>+VLOOKUP($L130,Data_Validation!$A:$D,4,0)</f>
        <v>Frais Payés d'Avance</v>
      </c>
      <c r="W130" s="153" t="str">
        <f>+VLOOKUP($L130,Data_Validation!$A:$E,5,0)</f>
        <v>$</v>
      </c>
      <c r="X130" s="153">
        <f>+VLOOKUP($L130,Data_Validation!$A:$F,6,0)</f>
        <v>0</v>
      </c>
    </row>
    <row r="131" spans="1:24" ht="15.75" customHeight="1">
      <c r="A131" s="1430" t="s">
        <v>2930</v>
      </c>
      <c r="B131" s="1431">
        <v>1591</v>
      </c>
      <c r="C131" s="1433">
        <v>1850</v>
      </c>
      <c r="D131" s="1433">
        <v>2828</v>
      </c>
      <c r="E131" s="1433">
        <v>4678</v>
      </c>
      <c r="F131" s="1430" t="s">
        <v>290</v>
      </c>
      <c r="G131" s="1430" t="s">
        <v>2099</v>
      </c>
      <c r="H131" s="1235"/>
      <c r="I131" s="1236"/>
      <c r="J131" s="1236"/>
      <c r="K131" s="1236"/>
      <c r="L131" s="150">
        <f t="shared" si="0"/>
        <v>1591</v>
      </c>
      <c r="M131" s="151" t="str">
        <f t="shared" si="1"/>
        <v>FPA PAYABLES</v>
      </c>
      <c r="N131" s="152">
        <f>+IF(OR($Q131=Parametres!$G$2,$Q131=Parametres!$G$3),I131,C131)</f>
        <v>1850</v>
      </c>
      <c r="O131" s="152">
        <f>+IF(OR($Q131=Parametres!$G$2,$Q131=Parametres!$G$3),J131,D131)</f>
        <v>2828</v>
      </c>
      <c r="P131" s="152">
        <f>+IF(OR($Q131=Parametres!$G$2,$Q131=Parametres!$G$3),K131,E131)</f>
        <v>4678</v>
      </c>
      <c r="Q131" s="151" t="str">
        <f t="shared" si="10"/>
        <v>2-Actifs</v>
      </c>
      <c r="R131" s="150" t="str">
        <f t="shared" si="10"/>
        <v>1500</v>
      </c>
      <c r="S131" s="151">
        <f t="shared" si="10"/>
        <v>0</v>
      </c>
      <c r="T131" s="153">
        <f>+VLOOKUP($L131,Data_Validation!$A:$D,1,0)</f>
        <v>1591</v>
      </c>
      <c r="U131" s="153" t="str">
        <f>+VLOOKUP($L131,Data_Validation!$A:$D,3,0)</f>
        <v>Bilan</v>
      </c>
      <c r="V131" s="153" t="str">
        <f>+VLOOKUP($L131,Data_Validation!$A:$D,4,0)</f>
        <v>Frais Payés d'Avance</v>
      </c>
      <c r="W131" s="153" t="str">
        <f>+VLOOKUP($L131,Data_Validation!$A:$E,5,0)</f>
        <v>$</v>
      </c>
      <c r="X131" s="153">
        <f>+VLOOKUP($L131,Data_Validation!$A:$F,6,0)</f>
        <v>0</v>
      </c>
    </row>
    <row r="132" spans="1:24" ht="15" customHeight="1">
      <c r="A132" s="1430" t="s">
        <v>2794</v>
      </c>
      <c r="B132" s="1431">
        <v>1592</v>
      </c>
      <c r="C132" s="1433">
        <v>-25661.88</v>
      </c>
      <c r="D132" s="1433">
        <v>4762.7700000000004</v>
      </c>
      <c r="E132" s="1433">
        <v>-20899.11</v>
      </c>
      <c r="F132" s="1430" t="s">
        <v>290</v>
      </c>
      <c r="G132" s="1430" t="s">
        <v>2099</v>
      </c>
      <c r="H132" s="1235"/>
      <c r="I132" s="1236"/>
      <c r="J132" s="1236"/>
      <c r="K132" s="1236"/>
      <c r="L132" s="150">
        <f t="shared" si="0"/>
        <v>1592</v>
      </c>
      <c r="M132" s="151" t="str">
        <f t="shared" si="1"/>
        <v>FPA AUTRES</v>
      </c>
      <c r="N132" s="152">
        <f>+IF(OR($Q132=Parametres!$G$2,$Q132=Parametres!$G$3),I132,C132)</f>
        <v>-25661.88</v>
      </c>
      <c r="O132" s="152">
        <f>+IF(OR($Q132=Parametres!$G$2,$Q132=Parametres!$G$3),J132,D132)</f>
        <v>4762.7700000000004</v>
      </c>
      <c r="P132" s="152">
        <f>+IF(OR($Q132=Parametres!$G$2,$Q132=Parametres!$G$3),K132,E132)</f>
        <v>-20899.11</v>
      </c>
      <c r="Q132" s="151" t="str">
        <f t="shared" si="10"/>
        <v>2-Actifs</v>
      </c>
      <c r="R132" s="150" t="str">
        <f t="shared" si="10"/>
        <v>1500</v>
      </c>
      <c r="S132" s="151">
        <f t="shared" si="10"/>
        <v>0</v>
      </c>
      <c r="T132" s="153">
        <f>+VLOOKUP($L132,Data_Validation!$A:$D,1,0)</f>
        <v>1592</v>
      </c>
      <c r="U132" s="153" t="str">
        <f>+VLOOKUP($L132,Data_Validation!$A:$D,3,0)</f>
        <v>Bilan</v>
      </c>
      <c r="V132" s="153" t="str">
        <f>+VLOOKUP($L132,Data_Validation!$A:$D,4,0)</f>
        <v>Frais Payés d'Avance</v>
      </c>
      <c r="W132" s="153" t="str">
        <f>+VLOOKUP($L132,Data_Validation!$A:$E,5,0)</f>
        <v>$</v>
      </c>
      <c r="X132" s="153">
        <f>+VLOOKUP($L132,Data_Validation!$A:$F,6,0)</f>
        <v>0</v>
      </c>
    </row>
    <row r="133" spans="1:24" ht="15" customHeight="1">
      <c r="A133" s="1430" t="s">
        <v>2391</v>
      </c>
      <c r="B133" s="1431">
        <v>1732</v>
      </c>
      <c r="C133" s="1433">
        <v>139185.28</v>
      </c>
      <c r="D133" s="1433">
        <v>0</v>
      </c>
      <c r="E133" s="1433">
        <v>139185.28</v>
      </c>
      <c r="F133" s="1430" t="s">
        <v>290</v>
      </c>
      <c r="G133" s="1430" t="s">
        <v>2121</v>
      </c>
      <c r="H133" s="1235"/>
      <c r="I133" s="1236"/>
      <c r="J133" s="1236"/>
      <c r="K133" s="1236"/>
      <c r="L133" s="150">
        <f t="shared" si="0"/>
        <v>1732</v>
      </c>
      <c r="M133" s="151" t="str">
        <f t="shared" si="1"/>
        <v>AMELIOR. LOCATIVES</v>
      </c>
      <c r="N133" s="152">
        <f>+IF(OR($Q133=Parametres!$G$2,$Q133=Parametres!$G$3),I133,C133)</f>
        <v>139185.28</v>
      </c>
      <c r="O133" s="152">
        <f>+IF(OR($Q133=Parametres!$G$2,$Q133=Parametres!$G$3),J133,D133)</f>
        <v>0</v>
      </c>
      <c r="P133" s="152">
        <f>+IF(OR($Q133=Parametres!$G$2,$Q133=Parametres!$G$3),K133,E133)</f>
        <v>139185.28</v>
      </c>
      <c r="Q133" s="151" t="str">
        <f t="shared" si="10"/>
        <v>2-Actifs</v>
      </c>
      <c r="R133" s="150" t="str">
        <f t="shared" si="10"/>
        <v>1700</v>
      </c>
      <c r="S133" s="151">
        <f t="shared" si="10"/>
        <v>0</v>
      </c>
      <c r="T133" s="153">
        <f>+VLOOKUP($L133,Data_Validation!$A:$D,1,0)</f>
        <v>1732</v>
      </c>
      <c r="U133" s="153" t="str">
        <f>+VLOOKUP($L133,Data_Validation!$A:$D,3,0)</f>
        <v>Bilan</v>
      </c>
      <c r="V133" s="153" t="str">
        <f>+VLOOKUP($L133,Data_Validation!$A:$D,4,0)</f>
        <v>Améliorations Locatives</v>
      </c>
      <c r="W133" s="153" t="str">
        <f>+VLOOKUP($L133,Data_Validation!$A:$E,5,0)</f>
        <v>$</v>
      </c>
      <c r="X133" s="153">
        <f>+VLOOKUP($L133,Data_Validation!$A:$F,6,0)</f>
        <v>0</v>
      </c>
    </row>
    <row r="134" spans="1:24" ht="15" customHeight="1">
      <c r="A134" s="1430" t="s">
        <v>2149</v>
      </c>
      <c r="B134" s="1431">
        <v>1733</v>
      </c>
      <c r="C134" s="1433">
        <v>-96540.97</v>
      </c>
      <c r="D134" s="1433">
        <v>-1982.55</v>
      </c>
      <c r="E134" s="1433">
        <v>-98523.520000000004</v>
      </c>
      <c r="F134" s="1430" t="s">
        <v>290</v>
      </c>
      <c r="G134" s="1430" t="s">
        <v>2121</v>
      </c>
      <c r="H134" s="1235"/>
      <c r="I134" s="1236"/>
      <c r="J134" s="1236"/>
      <c r="K134" s="1236"/>
      <c r="L134" s="150">
        <f t="shared" si="0"/>
        <v>1733</v>
      </c>
      <c r="M134" s="151" t="str">
        <f t="shared" si="1"/>
        <v>AMORT. CUM. AMEL. LOCAT.</v>
      </c>
      <c r="N134" s="152">
        <f>+IF(OR($Q134=Parametres!$G$2,$Q134=Parametres!$G$3),I134,C134)</f>
        <v>-96540.97</v>
      </c>
      <c r="O134" s="152">
        <f>+IF(OR($Q134=Parametres!$G$2,$Q134=Parametres!$G$3),J134,D134)</f>
        <v>-1982.55</v>
      </c>
      <c r="P134" s="152">
        <f>+IF(OR($Q134=Parametres!$G$2,$Q134=Parametres!$G$3),K134,E134)</f>
        <v>-98523.520000000004</v>
      </c>
      <c r="Q134" s="151" t="str">
        <f t="shared" si="10"/>
        <v>2-Actifs</v>
      </c>
      <c r="R134" s="150" t="str">
        <f t="shared" si="10"/>
        <v>1700</v>
      </c>
      <c r="S134" s="151">
        <f t="shared" si="10"/>
        <v>0</v>
      </c>
      <c r="T134" s="153">
        <f>+VLOOKUP($L134,Data_Validation!$A:$D,1,0)</f>
        <v>1733</v>
      </c>
      <c r="U134" s="153" t="str">
        <f>+VLOOKUP($L134,Data_Validation!$A:$D,3,0)</f>
        <v>Bilan</v>
      </c>
      <c r="V134" s="153" t="str">
        <f>+VLOOKUP($L134,Data_Validation!$A:$D,4,0)</f>
        <v>Améliorations Locatives</v>
      </c>
      <c r="W134" s="153" t="str">
        <f>+VLOOKUP($L134,Data_Validation!$A:$E,5,0)</f>
        <v>$</v>
      </c>
      <c r="X134" s="153">
        <f>+VLOOKUP($L134,Data_Validation!$A:$F,6,0)</f>
        <v>0</v>
      </c>
    </row>
    <row r="135" spans="1:24" ht="15.75" customHeight="1">
      <c r="A135" s="1430" t="s">
        <v>2393</v>
      </c>
      <c r="B135" s="1431">
        <v>1742</v>
      </c>
      <c r="C135" s="1433">
        <v>942882.53</v>
      </c>
      <c r="D135" s="1433">
        <v>11373.68</v>
      </c>
      <c r="E135" s="1433">
        <v>954256.21</v>
      </c>
      <c r="F135" s="1430" t="s">
        <v>290</v>
      </c>
      <c r="G135" s="1430" t="s">
        <v>2121</v>
      </c>
      <c r="H135" s="1235"/>
      <c r="I135" s="1236"/>
      <c r="J135" s="1236"/>
      <c r="K135" s="1236"/>
      <c r="L135" s="150">
        <f t="shared" si="0"/>
        <v>1742</v>
      </c>
      <c r="M135" s="151" t="str">
        <f t="shared" si="1"/>
        <v>MACHINERIE &amp; EQUIPEMENT</v>
      </c>
      <c r="N135" s="152">
        <f>+IF(OR($Q135=Parametres!$G$2,$Q135=Parametres!$G$3),I135,C135)</f>
        <v>942882.53</v>
      </c>
      <c r="O135" s="152">
        <f>+IF(OR($Q135=Parametres!$G$2,$Q135=Parametres!$G$3),J135,D135)</f>
        <v>11373.68</v>
      </c>
      <c r="P135" s="152">
        <f>+IF(OR($Q135=Parametres!$G$2,$Q135=Parametres!$G$3),K135,E135)</f>
        <v>954256.21</v>
      </c>
      <c r="Q135" s="151" t="str">
        <f t="shared" si="10"/>
        <v>2-Actifs</v>
      </c>
      <c r="R135" s="150" t="str">
        <f t="shared" si="10"/>
        <v>1700</v>
      </c>
      <c r="S135" s="151">
        <f t="shared" si="10"/>
        <v>0</v>
      </c>
      <c r="T135" s="153">
        <f>+VLOOKUP($L135,Data_Validation!$A:$D,1,0)</f>
        <v>1742</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430" t="s">
        <v>2119</v>
      </c>
      <c r="B136" s="1431">
        <v>1743</v>
      </c>
      <c r="C136" s="1433">
        <v>-779862.84</v>
      </c>
      <c r="D136" s="1433">
        <v>-2614.88</v>
      </c>
      <c r="E136" s="1433">
        <v>-782477.72</v>
      </c>
      <c r="F136" s="1430" t="s">
        <v>290</v>
      </c>
      <c r="G136" s="1430" t="s">
        <v>2121</v>
      </c>
      <c r="H136" s="1235"/>
      <c r="I136" s="1236"/>
      <c r="J136" s="1236"/>
      <c r="K136" s="1236"/>
      <c r="L136" s="150">
        <f t="shared" si="0"/>
        <v>1743</v>
      </c>
      <c r="M136" s="151" t="str">
        <f t="shared" si="1"/>
        <v>AMORTISS.MACHINERIE &amp; EQUIP.</v>
      </c>
      <c r="N136" s="152">
        <f>+IF(OR($Q136=Parametres!$G$2,$Q136=Parametres!$G$3),I136,C136)</f>
        <v>-779862.84</v>
      </c>
      <c r="O136" s="152">
        <f>+IF(OR($Q136=Parametres!$G$2,$Q136=Parametres!$G$3),J136,D136)</f>
        <v>-2614.88</v>
      </c>
      <c r="P136" s="152">
        <f>+IF(OR($Q136=Parametres!$G$2,$Q136=Parametres!$G$3),K136,E136)</f>
        <v>-782477.72</v>
      </c>
      <c r="Q136" s="151" t="str">
        <f t="shared" si="10"/>
        <v>2-Actifs</v>
      </c>
      <c r="R136" s="150" t="str">
        <f t="shared" si="10"/>
        <v>1700</v>
      </c>
      <c r="S136" s="151">
        <f t="shared" si="10"/>
        <v>0</v>
      </c>
      <c r="T136" s="153">
        <f>+VLOOKUP($L136,Data_Validation!$A:$D,1,0)</f>
        <v>1743</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430" t="s">
        <v>2395</v>
      </c>
      <c r="B137" s="1431">
        <v>1744</v>
      </c>
      <c r="C137" s="1433">
        <v>47461.59</v>
      </c>
      <c r="D137" s="1433">
        <v>0</v>
      </c>
      <c r="E137" s="1433">
        <v>47461.59</v>
      </c>
      <c r="F137" s="1430" t="s">
        <v>290</v>
      </c>
      <c r="G137" s="1430" t="s">
        <v>2121</v>
      </c>
      <c r="H137" s="1235"/>
      <c r="I137" s="1236"/>
      <c r="J137" s="1236"/>
      <c r="K137" s="1236"/>
      <c r="L137" s="150">
        <f t="shared" si="0"/>
        <v>1744</v>
      </c>
      <c r="M137" s="151" t="str">
        <f t="shared" si="1"/>
        <v>EQUIPEMENT PIECES</v>
      </c>
      <c r="N137" s="152">
        <f>+IF(OR($Q137=Parametres!$G$2,$Q137=Parametres!$G$3),I137,C137)</f>
        <v>47461.59</v>
      </c>
      <c r="O137" s="152">
        <f>+IF(OR($Q137=Parametres!$G$2,$Q137=Parametres!$G$3),J137,D137)</f>
        <v>0</v>
      </c>
      <c r="P137" s="152">
        <f>+IF(OR($Q137=Parametres!$G$2,$Q137=Parametres!$G$3),K137,E137)</f>
        <v>47461.59</v>
      </c>
      <c r="Q137" s="151" t="str">
        <f t="shared" si="10"/>
        <v>2-Actifs</v>
      </c>
      <c r="R137" s="150" t="str">
        <f t="shared" si="10"/>
        <v>1700</v>
      </c>
      <c r="S137" s="151">
        <f t="shared" si="10"/>
        <v>0</v>
      </c>
      <c r="T137" s="153">
        <f>+VLOOKUP($L137,Data_Validation!$A:$D,1,0)</f>
        <v>1744</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430" t="s">
        <v>2190</v>
      </c>
      <c r="B138" s="1431">
        <v>1745</v>
      </c>
      <c r="C138" s="1433">
        <v>-47383.98</v>
      </c>
      <c r="D138" s="1433">
        <v>-7.6</v>
      </c>
      <c r="E138" s="1433">
        <v>-47391.58</v>
      </c>
      <c r="F138" s="1430" t="s">
        <v>290</v>
      </c>
      <c r="G138" s="1430" t="s">
        <v>2121</v>
      </c>
      <c r="H138" s="1235"/>
      <c r="I138" s="1236"/>
      <c r="J138" s="1236"/>
      <c r="K138" s="1236"/>
      <c r="L138" s="150">
        <f t="shared" si="0"/>
        <v>1745</v>
      </c>
      <c r="M138" s="151" t="str">
        <f t="shared" si="1"/>
        <v>AMORTISS.EQUIPEMENTS PIECES</v>
      </c>
      <c r="N138" s="152">
        <f>+IF(OR($Q138=Parametres!$G$2,$Q138=Parametres!$G$3),I138,C138)</f>
        <v>-47383.98</v>
      </c>
      <c r="O138" s="152">
        <f>+IF(OR($Q138=Parametres!$G$2,$Q138=Parametres!$G$3),J138,D138)</f>
        <v>-7.6</v>
      </c>
      <c r="P138" s="152">
        <f>+IF(OR($Q138=Parametres!$G$2,$Q138=Parametres!$G$3),K138,E138)</f>
        <v>-47391.58</v>
      </c>
      <c r="Q138" s="151" t="str">
        <f t="shared" si="10"/>
        <v>2-Actifs</v>
      </c>
      <c r="R138" s="150" t="str">
        <f t="shared" si="10"/>
        <v>1700</v>
      </c>
      <c r="S138" s="151">
        <f t="shared" si="10"/>
        <v>0</v>
      </c>
      <c r="T138" s="153">
        <f>+VLOOKUP($L138,Data_Validation!$A:$D,1,0)</f>
        <v>1745</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430" t="s">
        <v>2397</v>
      </c>
      <c r="B139" s="1431">
        <v>1760</v>
      </c>
      <c r="C139" s="1433">
        <v>14897</v>
      </c>
      <c r="D139" s="1433">
        <v>0</v>
      </c>
      <c r="E139" s="1433">
        <v>14897</v>
      </c>
      <c r="F139" s="1430" t="s">
        <v>290</v>
      </c>
      <c r="G139" s="1430" t="s">
        <v>2121</v>
      </c>
      <c r="H139" s="1235"/>
      <c r="I139" s="1236"/>
      <c r="J139" s="1236"/>
      <c r="K139" s="1236"/>
      <c r="L139" s="150">
        <f t="shared" si="0"/>
        <v>1760</v>
      </c>
      <c r="M139" s="151" t="str">
        <f t="shared" si="1"/>
        <v>EQUIPEMENT TELEPHONIQUE</v>
      </c>
      <c r="N139" s="152">
        <f>+IF(OR($Q139=Parametres!$G$2,$Q139=Parametres!$G$3),I139,C139)</f>
        <v>14897</v>
      </c>
      <c r="O139" s="152">
        <f>+IF(OR($Q139=Parametres!$G$2,$Q139=Parametres!$G$3),J139,D139)</f>
        <v>0</v>
      </c>
      <c r="P139" s="152">
        <f>+IF(OR($Q139=Parametres!$G$2,$Q139=Parametres!$G$3),K139,E139)</f>
        <v>14897</v>
      </c>
      <c r="Q139" s="151" t="str">
        <f t="shared" si="10"/>
        <v>2-Actifs</v>
      </c>
      <c r="R139" s="150" t="str">
        <f t="shared" si="10"/>
        <v>1700</v>
      </c>
      <c r="S139" s="151">
        <f t="shared" si="10"/>
        <v>0</v>
      </c>
      <c r="T139" s="153">
        <f>+VLOOKUP($L139,Data_Validation!$A:$D,1,0)</f>
        <v>1760</v>
      </c>
      <c r="U139" s="153" t="str">
        <f>+VLOOKUP($L139,Data_Validation!$A:$D,3,0)</f>
        <v>Bilan</v>
      </c>
      <c r="V139" s="153" t="str">
        <f>+VLOOKUP($L139,Data_Validation!$A:$D,4,0)</f>
        <v>Équipements Téléphonique</v>
      </c>
      <c r="W139" s="153" t="str">
        <f>+VLOOKUP($L139,Data_Validation!$A:$E,5,0)</f>
        <v>$</v>
      </c>
      <c r="X139" s="153">
        <f>+VLOOKUP($L139,Data_Validation!$A:$F,6,0)</f>
        <v>0</v>
      </c>
    </row>
    <row r="140" spans="1:24" ht="15" customHeight="1">
      <c r="A140" s="1430" t="s">
        <v>2561</v>
      </c>
      <c r="B140" s="1431">
        <v>1761</v>
      </c>
      <c r="C140" s="1433">
        <v>-14897</v>
      </c>
      <c r="D140" s="1433">
        <v>0</v>
      </c>
      <c r="E140" s="1433">
        <v>-14897</v>
      </c>
      <c r="F140" s="1430" t="s">
        <v>290</v>
      </c>
      <c r="G140" s="1430" t="s">
        <v>2121</v>
      </c>
      <c r="H140" s="1235"/>
      <c r="I140" s="1236"/>
      <c r="J140" s="1236"/>
      <c r="K140" s="1236"/>
      <c r="L140" s="150">
        <f t="shared" si="0"/>
        <v>1761</v>
      </c>
      <c r="M140" s="151" t="str">
        <f t="shared" si="1"/>
        <v>AMORTISS.EQUIP.TELEPHONIQUES</v>
      </c>
      <c r="N140" s="152">
        <f>+IF(OR($Q140=Parametres!$G$2,$Q140=Parametres!$G$3),I140,C140)</f>
        <v>-14897</v>
      </c>
      <c r="O140" s="152">
        <f>+IF(OR($Q140=Parametres!$G$2,$Q140=Parametres!$G$3),J140,D140)</f>
        <v>0</v>
      </c>
      <c r="P140" s="152">
        <f>+IF(OR($Q140=Parametres!$G$2,$Q140=Parametres!$G$3),K140,E140)</f>
        <v>-14897</v>
      </c>
      <c r="Q140" s="151" t="str">
        <f t="shared" si="10"/>
        <v>2-Actifs</v>
      </c>
      <c r="R140" s="150" t="str">
        <f t="shared" si="10"/>
        <v>1700</v>
      </c>
      <c r="S140" s="151">
        <f t="shared" si="10"/>
        <v>0</v>
      </c>
      <c r="T140" s="153">
        <f>+VLOOKUP($L140,Data_Validation!$A:$D,1,0)</f>
        <v>1761</v>
      </c>
      <c r="U140" s="153" t="str">
        <f>+VLOOKUP($L140,Data_Validation!$A:$D,3,0)</f>
        <v>Bilan</v>
      </c>
      <c r="V140" s="153" t="str">
        <f>+VLOOKUP($L140,Data_Validation!$A:$D,4,0)</f>
        <v>Équipements Téléphonique</v>
      </c>
      <c r="W140" s="153" t="str">
        <f>+VLOOKUP($L140,Data_Validation!$A:$E,5,0)</f>
        <v>$</v>
      </c>
      <c r="X140" s="153">
        <f>+VLOOKUP($L140,Data_Validation!$A:$F,6,0)</f>
        <v>0</v>
      </c>
    </row>
    <row r="141" spans="1:24" ht="15" customHeight="1">
      <c r="A141" s="1430" t="s">
        <v>2399</v>
      </c>
      <c r="B141" s="1431">
        <v>1762</v>
      </c>
      <c r="C141" s="1433">
        <v>433206.49</v>
      </c>
      <c r="D141" s="1433">
        <v>0</v>
      </c>
      <c r="E141" s="1433">
        <v>433206.49</v>
      </c>
      <c r="F141" s="1430" t="s">
        <v>290</v>
      </c>
      <c r="G141" s="1430" t="s">
        <v>2121</v>
      </c>
      <c r="H141" s="1235"/>
      <c r="I141" s="1236"/>
      <c r="J141" s="1236"/>
      <c r="K141" s="1236"/>
      <c r="L141" s="150">
        <f t="shared" si="0"/>
        <v>1762</v>
      </c>
      <c r="M141" s="151" t="str">
        <f t="shared" si="1"/>
        <v>AMEUBLEMENT &amp; INSTR.</v>
      </c>
      <c r="N141" s="152">
        <f>+IF(OR($Q141=Parametres!$G$2,$Q141=Parametres!$G$3),I141,C141)</f>
        <v>433206.49</v>
      </c>
      <c r="O141" s="152">
        <f>+IF(OR($Q141=Parametres!$G$2,$Q141=Parametres!$G$3),J141,D141)</f>
        <v>0</v>
      </c>
      <c r="P141" s="152">
        <f>+IF(OR($Q141=Parametres!$G$2,$Q141=Parametres!$G$3),K141,E141)</f>
        <v>433206.49</v>
      </c>
      <c r="Q141" s="151" t="str">
        <f t="shared" si="10"/>
        <v>2-Actifs</v>
      </c>
      <c r="R141" s="150" t="str">
        <f t="shared" si="10"/>
        <v>1700</v>
      </c>
      <c r="S141" s="151">
        <f t="shared" si="10"/>
        <v>0</v>
      </c>
      <c r="T141" s="153">
        <f>+VLOOKUP($L141,Data_Validation!$A:$D,1,0)</f>
        <v>1762</v>
      </c>
      <c r="U141" s="153" t="str">
        <f>+VLOOKUP($L141,Data_Validation!$A:$D,3,0)</f>
        <v>Bilan</v>
      </c>
      <c r="V141" s="153" t="str">
        <f>+VLOOKUP($L141,Data_Validation!$A:$D,4,0)</f>
        <v>Mobilier</v>
      </c>
      <c r="W141" s="153" t="str">
        <f>+VLOOKUP($L141,Data_Validation!$A:$E,5,0)</f>
        <v>$</v>
      </c>
      <c r="X141" s="153">
        <f>+VLOOKUP($L141,Data_Validation!$A:$F,6,0)</f>
        <v>0</v>
      </c>
    </row>
    <row r="142" spans="1:24" ht="15" customHeight="1">
      <c r="A142" s="1430" t="s">
        <v>2156</v>
      </c>
      <c r="B142" s="1431">
        <v>1763</v>
      </c>
      <c r="C142" s="1433">
        <v>-401436.54</v>
      </c>
      <c r="D142" s="1433">
        <v>-456.47</v>
      </c>
      <c r="E142" s="1433">
        <v>-401893.01</v>
      </c>
      <c r="F142" s="1430" t="s">
        <v>290</v>
      </c>
      <c r="G142" s="1430" t="s">
        <v>2121</v>
      </c>
      <c r="H142" s="1235"/>
      <c r="I142" s="1236"/>
      <c r="J142" s="1236"/>
      <c r="K142" s="1236"/>
      <c r="L142" s="150">
        <f t="shared" si="0"/>
        <v>1763</v>
      </c>
      <c r="M142" s="151" t="str">
        <f t="shared" si="1"/>
        <v>AMORTISS.AMEUBL.INSTR.</v>
      </c>
      <c r="N142" s="152">
        <f>+IF(OR($Q142=Parametres!$G$2,$Q142=Parametres!$G$3),I142,C142)</f>
        <v>-401436.54</v>
      </c>
      <c r="O142" s="152">
        <f>+IF(OR($Q142=Parametres!$G$2,$Q142=Parametres!$G$3),J142,D142)</f>
        <v>-456.47</v>
      </c>
      <c r="P142" s="152">
        <f>+IF(OR($Q142=Parametres!$G$2,$Q142=Parametres!$G$3),K142,E142)</f>
        <v>-401893.01</v>
      </c>
      <c r="Q142" s="151" t="str">
        <f t="shared" si="10"/>
        <v>2-Actifs</v>
      </c>
      <c r="R142" s="150" t="str">
        <f t="shared" si="10"/>
        <v>1700</v>
      </c>
      <c r="S142" s="151">
        <f t="shared" si="10"/>
        <v>0</v>
      </c>
      <c r="T142" s="153">
        <f>+VLOOKUP($L142,Data_Validation!$A:$D,1,0)</f>
        <v>1763</v>
      </c>
      <c r="U142" s="153" t="str">
        <f>+VLOOKUP($L142,Data_Validation!$A:$D,3,0)</f>
        <v>Bilan</v>
      </c>
      <c r="V142" s="153" t="str">
        <f>+VLOOKUP($L142,Data_Validation!$A:$D,4,0)</f>
        <v>Mobilier</v>
      </c>
      <c r="W142" s="153" t="str">
        <f>+VLOOKUP($L142,Data_Validation!$A:$E,5,0)</f>
        <v>$</v>
      </c>
      <c r="X142" s="153">
        <f>+VLOOKUP($L142,Data_Validation!$A:$F,6,0)</f>
        <v>0</v>
      </c>
    </row>
    <row r="143" spans="1:24" ht="15.75" customHeight="1">
      <c r="A143" s="1430" t="s">
        <v>2401</v>
      </c>
      <c r="B143" s="1431">
        <v>1772</v>
      </c>
      <c r="C143" s="1433">
        <v>3987.88</v>
      </c>
      <c r="D143" s="1433">
        <v>0</v>
      </c>
      <c r="E143" s="1433">
        <v>3987.88</v>
      </c>
      <c r="F143" s="1430" t="s">
        <v>290</v>
      </c>
      <c r="G143" s="1430" t="s">
        <v>2121</v>
      </c>
      <c r="H143" s="1235"/>
      <c r="I143" s="1236"/>
      <c r="J143" s="1236"/>
      <c r="K143" s="1236"/>
      <c r="L143" s="150">
        <f t="shared" si="0"/>
        <v>1772</v>
      </c>
      <c r="M143" s="151" t="str">
        <f t="shared" si="1"/>
        <v>VEHICULES DE CIE</v>
      </c>
      <c r="N143" s="152">
        <f>+IF(OR($Q143=Parametres!$G$2,$Q143=Parametres!$G$3),I143,C143)</f>
        <v>3987.88</v>
      </c>
      <c r="O143" s="152">
        <f>+IF(OR($Q143=Parametres!$G$2,$Q143=Parametres!$G$3),J143,D143)</f>
        <v>0</v>
      </c>
      <c r="P143" s="152">
        <f>+IF(OR($Q143=Parametres!$G$2,$Q143=Parametres!$G$3),K143,E143)</f>
        <v>3987.88</v>
      </c>
      <c r="Q143" s="151" t="str">
        <f t="shared" si="10"/>
        <v>2-Actifs</v>
      </c>
      <c r="R143" s="150" t="str">
        <f t="shared" si="10"/>
        <v>1700</v>
      </c>
      <c r="S143" s="151">
        <f t="shared" si="10"/>
        <v>0</v>
      </c>
      <c r="T143" s="153">
        <f>+VLOOKUP($L143,Data_Validation!$A:$D,1,0)</f>
        <v>1772</v>
      </c>
      <c r="U143" s="153" t="str">
        <f>+VLOOKUP($L143,Data_Validation!$A:$D,3,0)</f>
        <v>Bilan</v>
      </c>
      <c r="V143" s="153" t="str">
        <f>+VLOOKUP($L143,Data_Validation!$A:$D,4,0)</f>
        <v>Équipements Service</v>
      </c>
      <c r="W143" s="153" t="str">
        <f>+VLOOKUP($L143,Data_Validation!$A:$E,5,0)</f>
        <v>$</v>
      </c>
      <c r="X143" s="153">
        <f>+VLOOKUP($L143,Data_Validation!$A:$F,6,0)</f>
        <v>0</v>
      </c>
    </row>
    <row r="144" spans="1:24" ht="15" customHeight="1">
      <c r="A144" s="1430" t="s">
        <v>2403</v>
      </c>
      <c r="B144" s="1431">
        <v>1773</v>
      </c>
      <c r="C144" s="1433">
        <v>-3987.88</v>
      </c>
      <c r="D144" s="1433">
        <v>0</v>
      </c>
      <c r="E144" s="1433">
        <v>-3987.88</v>
      </c>
      <c r="F144" s="1430" t="s">
        <v>290</v>
      </c>
      <c r="G144" s="1430" t="s">
        <v>2121</v>
      </c>
      <c r="H144" s="1235"/>
      <c r="I144" s="1236"/>
      <c r="J144" s="1236"/>
      <c r="K144" s="1236"/>
      <c r="L144" s="150">
        <f t="shared" si="0"/>
        <v>1773</v>
      </c>
      <c r="M144" s="151" t="str">
        <f t="shared" si="1"/>
        <v>DEPRECIATION &amp; AMORT.</v>
      </c>
      <c r="N144" s="152">
        <f>+IF(OR($Q144=Parametres!$G$2,$Q144=Parametres!$G$3),I144,C144)</f>
        <v>-3987.88</v>
      </c>
      <c r="O144" s="152">
        <f>+IF(OR($Q144=Parametres!$G$2,$Q144=Parametres!$G$3),J144,D144)</f>
        <v>0</v>
      </c>
      <c r="P144" s="152">
        <f>+IF(OR($Q144=Parametres!$G$2,$Q144=Parametres!$G$3),K144,E144)</f>
        <v>-3987.88</v>
      </c>
      <c r="Q144" s="151" t="str">
        <f t="shared" si="10"/>
        <v>2-Actifs</v>
      </c>
      <c r="R144" s="150" t="str">
        <f t="shared" si="10"/>
        <v>1700</v>
      </c>
      <c r="S144" s="151">
        <f t="shared" si="10"/>
        <v>0</v>
      </c>
      <c r="T144" s="153">
        <f>+VLOOKUP($L144,Data_Validation!$A:$D,1,0)</f>
        <v>1773</v>
      </c>
      <c r="U144" s="153" t="str">
        <f>+VLOOKUP($L144,Data_Validation!$A:$D,3,0)</f>
        <v>Bilan</v>
      </c>
      <c r="V144" s="153" t="str">
        <f>+VLOOKUP($L144,Data_Validation!$A:$D,4,0)</f>
        <v>Équipements Service</v>
      </c>
      <c r="W144" s="153" t="str">
        <f>+VLOOKUP($L144,Data_Validation!$A:$E,5,0)</f>
        <v>$</v>
      </c>
      <c r="X144" s="153">
        <f>+VLOOKUP($L144,Data_Validation!$A:$F,6,0)</f>
        <v>0</v>
      </c>
    </row>
    <row r="145" spans="1:24" ht="15" customHeight="1">
      <c r="A145" s="1430" t="s">
        <v>2559</v>
      </c>
      <c r="B145" s="1431">
        <v>1786</v>
      </c>
      <c r="C145" s="1433">
        <v>123312.49</v>
      </c>
      <c r="D145" s="1433">
        <v>0</v>
      </c>
      <c r="E145" s="1433">
        <v>123312.49</v>
      </c>
      <c r="F145" s="1430" t="s">
        <v>290</v>
      </c>
      <c r="G145" s="1430" t="s">
        <v>2121</v>
      </c>
      <c r="H145" s="1237"/>
      <c r="I145" s="1237"/>
      <c r="J145" s="1237"/>
      <c r="K145" s="1237"/>
      <c r="L145" s="150">
        <f t="shared" si="0"/>
        <v>1786</v>
      </c>
      <c r="M145" s="151" t="str">
        <f t="shared" si="1"/>
        <v>EQUIPEMENT INFORMATIQUE</v>
      </c>
      <c r="N145" s="152">
        <f>+IF(OR($Q145=Parametres!$G$2,$Q145=Parametres!$G$3),I145,C145)</f>
        <v>123312.49</v>
      </c>
      <c r="O145" s="152">
        <f>+IF(OR($Q145=Parametres!$G$2,$Q145=Parametres!$G$3),J145,D145)</f>
        <v>0</v>
      </c>
      <c r="P145" s="152">
        <f>+IF(OR($Q145=Parametres!$G$2,$Q145=Parametres!$G$3),K145,E145)</f>
        <v>123312.49</v>
      </c>
      <c r="Q145" s="151" t="str">
        <f t="shared" si="10"/>
        <v>2-Actifs</v>
      </c>
      <c r="R145" s="150" t="str">
        <f t="shared" si="10"/>
        <v>1700</v>
      </c>
      <c r="S145" s="151">
        <f t="shared" si="10"/>
        <v>0</v>
      </c>
      <c r="T145" s="153">
        <f>+VLOOKUP($L145,Data_Validation!$A:$D,1,0)</f>
        <v>1786</v>
      </c>
      <c r="U145" s="153" t="str">
        <f>+VLOOKUP($L145,Data_Validation!$A:$D,3,0)</f>
        <v>Bilan</v>
      </c>
      <c r="V145" s="153" t="str">
        <f>+VLOOKUP($L145,Data_Validation!$A:$D,4,0)</f>
        <v>Équipements Informatique</v>
      </c>
      <c r="W145" s="153" t="str">
        <f>+VLOOKUP($L145,Data_Validation!$A:$E,5,0)</f>
        <v>$</v>
      </c>
      <c r="X145" s="153">
        <f>+VLOOKUP($L145,Data_Validation!$A:$F,6,0)</f>
        <v>0</v>
      </c>
    </row>
    <row r="146" spans="1:24" ht="15" customHeight="1">
      <c r="A146" s="1430" t="s">
        <v>2147</v>
      </c>
      <c r="B146" s="1431">
        <v>1787</v>
      </c>
      <c r="C146" s="1433">
        <v>-99961.42</v>
      </c>
      <c r="D146" s="1433">
        <v>-1156</v>
      </c>
      <c r="E146" s="1433">
        <v>-101117.42</v>
      </c>
      <c r="F146" s="1430" t="s">
        <v>290</v>
      </c>
      <c r="G146" s="1430" t="s">
        <v>2121</v>
      </c>
      <c r="H146" s="1237"/>
      <c r="I146" s="1237"/>
      <c r="J146" s="1237"/>
      <c r="K146" s="1237"/>
      <c r="L146" s="150">
        <f t="shared" si="0"/>
        <v>1787</v>
      </c>
      <c r="M146" s="151" t="str">
        <f t="shared" si="1"/>
        <v>AMORTISS.EQUIP.INFORMATIQUES</v>
      </c>
      <c r="N146" s="152">
        <f>+IF(OR($Q146=Parametres!$G$2,$Q146=Parametres!$G$3),I146,C146)</f>
        <v>-99961.42</v>
      </c>
      <c r="O146" s="152">
        <f>+IF(OR($Q146=Parametres!$G$2,$Q146=Parametres!$G$3),J146,D146)</f>
        <v>-1156</v>
      </c>
      <c r="P146" s="152">
        <f>+IF(OR($Q146=Parametres!$G$2,$Q146=Parametres!$G$3),K146,E146)</f>
        <v>-101117.42</v>
      </c>
      <c r="Q146" s="151" t="str">
        <f t="shared" ref="Q146:S161" si="11">+F146</f>
        <v>2-Actifs</v>
      </c>
      <c r="R146" s="150" t="str">
        <f t="shared" si="11"/>
        <v>1700</v>
      </c>
      <c r="S146" s="151">
        <f t="shared" si="11"/>
        <v>0</v>
      </c>
      <c r="T146" s="153">
        <f>+VLOOKUP($L146,Data_Validation!$A:$D,1,0)</f>
        <v>1787</v>
      </c>
      <c r="U146" s="153" t="str">
        <f>+VLOOKUP($L146,Data_Validation!$A:$D,3,0)</f>
        <v>Bilan</v>
      </c>
      <c r="V146" s="153" t="str">
        <f>+VLOOKUP($L146,Data_Validation!$A:$D,4,0)</f>
        <v>Équipements Informatique</v>
      </c>
      <c r="W146" s="153" t="str">
        <f>+VLOOKUP($L146,Data_Validation!$A:$E,5,0)</f>
        <v>$</v>
      </c>
      <c r="X146" s="153">
        <f>+VLOOKUP($L146,Data_Validation!$A:$F,6,0)</f>
        <v>0</v>
      </c>
    </row>
    <row r="147" spans="1:24" ht="15" customHeight="1">
      <c r="A147" s="1430" t="s">
        <v>819</v>
      </c>
      <c r="B147" s="1431">
        <v>1792</v>
      </c>
      <c r="C147" s="1433">
        <v>119393.66</v>
      </c>
      <c r="D147" s="1433">
        <v>0</v>
      </c>
      <c r="E147" s="1433">
        <v>119393.66</v>
      </c>
      <c r="F147" s="1430" t="s">
        <v>290</v>
      </c>
      <c r="G147" s="1430" t="s">
        <v>2121</v>
      </c>
      <c r="H147" s="1237"/>
      <c r="I147" s="1237"/>
      <c r="J147" s="1237"/>
      <c r="K147" s="1237"/>
      <c r="L147" s="150">
        <f t="shared" si="0"/>
        <v>1792</v>
      </c>
      <c r="M147" s="151" t="str">
        <f t="shared" si="1"/>
        <v>ENSEIGNES</v>
      </c>
      <c r="N147" s="152">
        <f>+IF(OR($Q147=Parametres!$G$2,$Q147=Parametres!$G$3),I147,C147)</f>
        <v>119393.66</v>
      </c>
      <c r="O147" s="152">
        <f>+IF(OR($Q147=Parametres!$G$2,$Q147=Parametres!$G$3),J147,D147)</f>
        <v>0</v>
      </c>
      <c r="P147" s="152">
        <f>+IF(OR($Q147=Parametres!$G$2,$Q147=Parametres!$G$3),K147,E147)</f>
        <v>119393.66</v>
      </c>
      <c r="Q147" s="151" t="str">
        <f t="shared" si="11"/>
        <v>2-Actifs</v>
      </c>
      <c r="R147" s="150" t="str">
        <f t="shared" si="11"/>
        <v>1700</v>
      </c>
      <c r="S147" s="151">
        <f t="shared" si="11"/>
        <v>0</v>
      </c>
      <c r="T147" s="153">
        <f>+VLOOKUP($L147,Data_Validation!$A:$D,1,0)</f>
        <v>1792</v>
      </c>
      <c r="U147" s="153" t="str">
        <f>+VLOOKUP($L147,Data_Validation!$A:$D,3,0)</f>
        <v>Bilan</v>
      </c>
      <c r="V147" s="153" t="str">
        <f>+VLOOKUP($L147,Data_Validation!$A:$D,4,0)</f>
        <v>Enseigne</v>
      </c>
      <c r="W147" s="153" t="str">
        <f>+VLOOKUP($L147,Data_Validation!$A:$E,5,0)</f>
        <v>$</v>
      </c>
      <c r="X147" s="153">
        <f>+VLOOKUP($L147,Data_Validation!$A:$F,6,0)</f>
        <v>0</v>
      </c>
    </row>
    <row r="148" spans="1:24" ht="15" customHeight="1">
      <c r="A148" s="1430" t="s">
        <v>2188</v>
      </c>
      <c r="B148" s="1431">
        <v>1793</v>
      </c>
      <c r="C148" s="1433">
        <v>-119393.65</v>
      </c>
      <c r="D148" s="1433">
        <v>0</v>
      </c>
      <c r="E148" s="1433">
        <v>-119393.65</v>
      </c>
      <c r="F148" s="1430" t="s">
        <v>290</v>
      </c>
      <c r="G148" s="1430" t="s">
        <v>2121</v>
      </c>
      <c r="H148" s="1237"/>
      <c r="I148" s="1237"/>
      <c r="J148" s="1237"/>
      <c r="K148" s="1237"/>
      <c r="L148" s="150">
        <f t="shared" si="0"/>
        <v>1793</v>
      </c>
      <c r="M148" s="151" t="str">
        <f t="shared" si="1"/>
        <v>AMORT. CUM. ENSEIGNES</v>
      </c>
      <c r="N148" s="152">
        <f>+IF(OR($Q148=Parametres!$G$2,$Q148=Parametres!$G$3),I148,C148)</f>
        <v>-119393.65</v>
      </c>
      <c r="O148" s="152">
        <f>+IF(OR($Q148=Parametres!$G$2,$Q148=Parametres!$G$3),J148,D148)</f>
        <v>0</v>
      </c>
      <c r="P148" s="152">
        <f>+IF(OR($Q148=Parametres!$G$2,$Q148=Parametres!$G$3),K148,E148)</f>
        <v>-119393.65</v>
      </c>
      <c r="Q148" s="151" t="str">
        <f t="shared" si="11"/>
        <v>2-Actifs</v>
      </c>
      <c r="R148" s="150" t="str">
        <f t="shared" si="11"/>
        <v>1700</v>
      </c>
      <c r="S148" s="151">
        <f t="shared" si="11"/>
        <v>0</v>
      </c>
      <c r="T148" s="153">
        <f>+VLOOKUP($L148,Data_Validation!$A:$D,1,0)</f>
        <v>1793</v>
      </c>
      <c r="U148" s="153" t="str">
        <f>+VLOOKUP($L148,Data_Validation!$A:$D,3,0)</f>
        <v>Bilan</v>
      </c>
      <c r="V148" s="153" t="str">
        <f>+VLOOKUP($L148,Data_Validation!$A:$D,4,0)</f>
        <v>Enseigne</v>
      </c>
      <c r="W148" s="153" t="str">
        <f>+VLOOKUP($L148,Data_Validation!$A:$E,5,0)</f>
        <v>$</v>
      </c>
      <c r="X148" s="153">
        <f>+VLOOKUP($L148,Data_Validation!$A:$F,6,0)</f>
        <v>0</v>
      </c>
    </row>
    <row r="149" spans="1:24" ht="15" customHeight="1">
      <c r="A149" s="1430" t="s">
        <v>3610</v>
      </c>
      <c r="B149" s="1431">
        <v>1804</v>
      </c>
      <c r="C149" s="1433">
        <v>1623600</v>
      </c>
      <c r="D149" s="1433">
        <v>0</v>
      </c>
      <c r="E149" s="1433">
        <v>1623600</v>
      </c>
      <c r="F149" s="1430" t="s">
        <v>290</v>
      </c>
      <c r="G149" s="1430" t="s">
        <v>2407</v>
      </c>
      <c r="H149" s="1237"/>
      <c r="I149" s="1237"/>
      <c r="J149" s="1237"/>
      <c r="K149" s="1237"/>
      <c r="L149" s="150">
        <f t="shared" si="0"/>
        <v>1804</v>
      </c>
      <c r="M149" s="151" t="str">
        <f t="shared" si="1"/>
        <v>REC. PROPRIO - INTERCO</v>
      </c>
      <c r="N149" s="152">
        <f>+IF(OR($Q149=Parametres!$G$2,$Q149=Parametres!$G$3),I149,C149)</f>
        <v>1623600</v>
      </c>
      <c r="O149" s="152">
        <f>+IF(OR($Q149=Parametres!$G$2,$Q149=Parametres!$G$3),J149,D149)</f>
        <v>0</v>
      </c>
      <c r="P149" s="152">
        <f>+IF(OR($Q149=Parametres!$G$2,$Q149=Parametres!$G$3),K149,E149)</f>
        <v>1623600</v>
      </c>
      <c r="Q149" s="151" t="str">
        <f t="shared" si="11"/>
        <v>2-Actifs</v>
      </c>
      <c r="R149" s="150" t="str">
        <f t="shared" si="11"/>
        <v>1804</v>
      </c>
      <c r="S149" s="151">
        <f t="shared" si="11"/>
        <v>0</v>
      </c>
      <c r="T149" s="153">
        <f>+VLOOKUP($L149,Data_Validation!$A:$D,1,0)</f>
        <v>1804</v>
      </c>
      <c r="U149" s="153" t="str">
        <f>+VLOOKUP($L149,Data_Validation!$A:$D,3,0)</f>
        <v>Bilan</v>
      </c>
      <c r="V149" s="153" t="str">
        <f>+VLOOKUP($L149,Data_Validation!$A:$D,4,0)</f>
        <v>Avances à Recevoir Long Terme</v>
      </c>
      <c r="W149" s="153" t="str">
        <f>+VLOOKUP($L149,Data_Validation!$A:$E,5,0)</f>
        <v>$</v>
      </c>
      <c r="X149" s="153">
        <f>+VLOOKUP($L149,Data_Validation!$A:$F,6,0)</f>
        <v>0</v>
      </c>
    </row>
    <row r="150" spans="1:24" ht="15" customHeight="1">
      <c r="A150" s="1430" t="s">
        <v>2743</v>
      </c>
      <c r="B150" s="1431">
        <v>1806</v>
      </c>
      <c r="C150" s="1433">
        <v>6653.18</v>
      </c>
      <c r="D150" s="1433">
        <v>-3096.99</v>
      </c>
      <c r="E150" s="1433">
        <v>3556.19</v>
      </c>
      <c r="F150" s="1430" t="s">
        <v>290</v>
      </c>
      <c r="G150" s="1430" t="s">
        <v>2614</v>
      </c>
      <c r="H150" s="1237"/>
      <c r="I150" s="1237"/>
      <c r="J150" s="1237"/>
      <c r="K150" s="1237"/>
      <c r="L150" s="150">
        <f t="shared" si="0"/>
        <v>1806</v>
      </c>
      <c r="M150" s="151" t="str">
        <f t="shared" si="1"/>
        <v>FINANCEMENT RECEVABLE</v>
      </c>
      <c r="N150" s="152">
        <f>+IF(OR($Q150=Parametres!$G$2,$Q150=Parametres!$G$3),I150,C150)</f>
        <v>6653.18</v>
      </c>
      <c r="O150" s="152">
        <f>+IF(OR($Q150=Parametres!$G$2,$Q150=Parametres!$G$3),J150,D150)</f>
        <v>-3096.99</v>
      </c>
      <c r="P150" s="152">
        <f>+IF(OR($Q150=Parametres!$G$2,$Q150=Parametres!$G$3),K150,E150)</f>
        <v>3556.19</v>
      </c>
      <c r="Q150" s="151" t="str">
        <f t="shared" si="11"/>
        <v>2-Actifs</v>
      </c>
      <c r="R150" s="150" t="str">
        <f t="shared" si="11"/>
        <v>1382</v>
      </c>
      <c r="S150" s="151">
        <f t="shared" si="11"/>
        <v>0</v>
      </c>
      <c r="T150" s="153">
        <f>+VLOOKUP($L150,Data_Validation!$A:$D,1,0)</f>
        <v>1806</v>
      </c>
      <c r="U150" s="153" t="str">
        <f>+VLOOKUP($L150,Data_Validation!$A:$D,3,0)</f>
        <v>Bilan</v>
      </c>
      <c r="V150" s="153" t="str">
        <f>+VLOOKUP($L150,Data_Validation!$A:$D,4,0)</f>
        <v>Recevables Autres</v>
      </c>
      <c r="W150" s="153" t="str">
        <f>+VLOOKUP($L150,Data_Validation!$A:$E,5,0)</f>
        <v>$</v>
      </c>
      <c r="X150" s="153">
        <f>+VLOOKUP($L150,Data_Validation!$A:$F,6,0)</f>
        <v>0</v>
      </c>
    </row>
    <row r="151" spans="1:24" ht="15.75" customHeight="1">
      <c r="A151" s="1430" t="s">
        <v>2837</v>
      </c>
      <c r="B151" s="1431">
        <v>2101</v>
      </c>
      <c r="C151" s="1433">
        <v>-4561513.3600000003</v>
      </c>
      <c r="D151" s="1433">
        <v>1272459.68</v>
      </c>
      <c r="E151" s="1433">
        <v>-3289053.68</v>
      </c>
      <c r="F151" s="1430" t="s">
        <v>279</v>
      </c>
      <c r="G151" s="1430" t="s">
        <v>2838</v>
      </c>
      <c r="H151" s="1237"/>
      <c r="I151" s="1237"/>
      <c r="J151" s="1237"/>
      <c r="K151" s="1237"/>
      <c r="L151" s="150">
        <f t="shared" si="0"/>
        <v>2101</v>
      </c>
      <c r="M151" s="151" t="str">
        <f t="shared" si="1"/>
        <v>NOTE A PAYER VEH. NEUFS VOLKS</v>
      </c>
      <c r="N151" s="152">
        <f>+IF(OR($Q151=Parametres!$G$2,$Q151=Parametres!$G$3),I151,C151)</f>
        <v>-4561513.3600000003</v>
      </c>
      <c r="O151" s="152">
        <f>+IF(OR($Q151=Parametres!$G$2,$Q151=Parametres!$G$3),J151,D151)</f>
        <v>1272459.68</v>
      </c>
      <c r="P151" s="152">
        <f>+IF(OR($Q151=Parametres!$G$2,$Q151=Parametres!$G$3),K151,E151)</f>
        <v>-3289053.68</v>
      </c>
      <c r="Q151" s="151" t="str">
        <f t="shared" si="11"/>
        <v>3-Passifs</v>
      </c>
      <c r="R151" s="150" t="str">
        <f t="shared" si="11"/>
        <v>2101</v>
      </c>
      <c r="S151" s="151">
        <f t="shared" si="11"/>
        <v>0</v>
      </c>
      <c r="T151" s="153">
        <f>+VLOOKUP($L151,Data_Validation!$A:$D,1,0)</f>
        <v>2101</v>
      </c>
      <c r="U151" s="153" t="str">
        <f>+VLOOKUP($L151,Data_Validation!$A:$D,3,0)</f>
        <v>Bilan</v>
      </c>
      <c r="V151" s="153" t="str">
        <f>+VLOOKUP($L151,Data_Validation!$A:$D,4,0)</f>
        <v>Effet à Payer Véhicules Neufs</v>
      </c>
      <c r="W151" s="153" t="str">
        <f>+VLOOKUP($L151,Data_Validation!$A:$E,5,0)</f>
        <v>$</v>
      </c>
      <c r="X151" s="153">
        <f>+VLOOKUP($L151,Data_Validation!$A:$F,6,0)</f>
        <v>0</v>
      </c>
    </row>
    <row r="152" spans="1:24" ht="15" customHeight="1">
      <c r="A152" s="1430" t="s">
        <v>2029</v>
      </c>
      <c r="B152" s="1431">
        <v>2103</v>
      </c>
      <c r="C152" s="1433">
        <v>-413971.93</v>
      </c>
      <c r="D152" s="1433">
        <v>213520.95</v>
      </c>
      <c r="E152" s="1433">
        <v>-200450.98</v>
      </c>
      <c r="F152" s="1430" t="s">
        <v>279</v>
      </c>
      <c r="G152" s="1430" t="s">
        <v>2030</v>
      </c>
      <c r="H152" s="1237"/>
      <c r="I152" s="1237"/>
      <c r="J152" s="1237"/>
      <c r="K152" s="1237"/>
      <c r="L152" s="150">
        <f t="shared" si="0"/>
        <v>2103</v>
      </c>
      <c r="M152" s="151" t="str">
        <f t="shared" si="1"/>
        <v>NOTE PAYABLE-FIN. VEH. USAG.</v>
      </c>
      <c r="N152" s="152">
        <f>+IF(OR($Q152=Parametres!$G$2,$Q152=Parametres!$G$3),I152,C152)</f>
        <v>-413971.93</v>
      </c>
      <c r="O152" s="152">
        <f>+IF(OR($Q152=Parametres!$G$2,$Q152=Parametres!$G$3),J152,D152)</f>
        <v>213520.95</v>
      </c>
      <c r="P152" s="152">
        <f>+IF(OR($Q152=Parametres!$G$2,$Q152=Parametres!$G$3),K152,E152)</f>
        <v>-200450.98</v>
      </c>
      <c r="Q152" s="151" t="str">
        <f t="shared" si="11"/>
        <v>3-Passifs</v>
      </c>
      <c r="R152" s="150" t="str">
        <f t="shared" si="11"/>
        <v>2103</v>
      </c>
      <c r="S152" s="151">
        <f t="shared" si="11"/>
        <v>0</v>
      </c>
      <c r="T152" s="153">
        <f>+VLOOKUP($L152,Data_Validation!$A:$D,1,0)</f>
        <v>2103</v>
      </c>
      <c r="U152" s="153" t="str">
        <f>+VLOOKUP($L152,Data_Validation!$A:$D,3,0)</f>
        <v>Bilan</v>
      </c>
      <c r="V152" s="153" t="str">
        <f>+VLOOKUP($L152,Data_Validation!$A:$D,4,0)</f>
        <v>Effet à Payer Véhicules Usagés</v>
      </c>
      <c r="W152" s="153" t="str">
        <f>+VLOOKUP($L152,Data_Validation!$A:$E,5,0)</f>
        <v>$</v>
      </c>
      <c r="X152" s="153">
        <f>+VLOOKUP($L152,Data_Validation!$A:$F,6,0)</f>
        <v>0</v>
      </c>
    </row>
    <row r="153" spans="1:24" ht="15" customHeight="1">
      <c r="A153" s="1430" t="s">
        <v>2408</v>
      </c>
      <c r="B153" s="1431">
        <v>2131</v>
      </c>
      <c r="C153" s="1433">
        <v>-15810</v>
      </c>
      <c r="D153" s="1433">
        <v>0</v>
      </c>
      <c r="E153" s="1433">
        <v>-15810</v>
      </c>
      <c r="F153" s="1430" t="s">
        <v>279</v>
      </c>
      <c r="G153" s="1430" t="s">
        <v>2409</v>
      </c>
      <c r="H153" s="1237"/>
      <c r="I153" s="1237"/>
      <c r="J153" s="1237"/>
      <c r="K153" s="1237"/>
      <c r="L153" s="150">
        <f t="shared" si="0"/>
        <v>2131</v>
      </c>
      <c r="M153" s="151" t="str">
        <f t="shared" si="1"/>
        <v>PORTION COURANTE PRET</v>
      </c>
      <c r="N153" s="152">
        <f>+IF(OR($Q153=Parametres!$G$2,$Q153=Parametres!$G$3),I153,C153)</f>
        <v>-15810</v>
      </c>
      <c r="O153" s="152">
        <f>+IF(OR($Q153=Parametres!$G$2,$Q153=Parametres!$G$3),J153,D153)</f>
        <v>0</v>
      </c>
      <c r="P153" s="152">
        <f>+IF(OR($Q153=Parametres!$G$2,$Q153=Parametres!$G$3),K153,E153)</f>
        <v>-15810</v>
      </c>
      <c r="Q153" s="151" t="str">
        <f t="shared" si="11"/>
        <v>3-Passifs</v>
      </c>
      <c r="R153" s="150" t="str">
        <f t="shared" si="11"/>
        <v>2131</v>
      </c>
      <c r="S153" s="151">
        <f t="shared" si="11"/>
        <v>0</v>
      </c>
      <c r="T153" s="153">
        <f>+VLOOKUP($L153,Data_Validation!$A:$D,1,0)</f>
        <v>2131</v>
      </c>
      <c r="U153" s="153" t="str">
        <f>+VLOOKUP($L153,Data_Validation!$A:$D,3,0)</f>
        <v>Bilan</v>
      </c>
      <c r="V153" s="153" t="str">
        <f>+VLOOKUP($L153,Data_Validation!$A:$D,4,0)</f>
        <v>Portion Court Terme de la Dette Long Terme</v>
      </c>
      <c r="W153" s="153" t="str">
        <f>+VLOOKUP($L153,Data_Validation!$A:$E,5,0)</f>
        <v>$</v>
      </c>
      <c r="X153" s="153">
        <f>+VLOOKUP($L153,Data_Validation!$A:$F,6,0)</f>
        <v>0</v>
      </c>
    </row>
    <row r="154" spans="1:24" ht="15" customHeight="1">
      <c r="A154" s="1430" t="s">
        <v>2196</v>
      </c>
      <c r="B154" s="1431">
        <v>2220</v>
      </c>
      <c r="C154" s="1433">
        <v>-1021.57</v>
      </c>
      <c r="D154" s="1433">
        <v>155.52000000000001</v>
      </c>
      <c r="E154" s="1433">
        <v>-866.05</v>
      </c>
      <c r="F154" s="1430" t="s">
        <v>279</v>
      </c>
      <c r="G154" s="1430" t="s">
        <v>2197</v>
      </c>
      <c r="H154" s="1237"/>
      <c r="I154" s="1237"/>
      <c r="J154" s="1237"/>
      <c r="K154" s="1237"/>
      <c r="L154" s="150">
        <f t="shared" si="0"/>
        <v>2220</v>
      </c>
      <c r="M154" s="151" t="str">
        <f t="shared" si="1"/>
        <v>TPA A PAYER</v>
      </c>
      <c r="N154" s="152">
        <f>+IF(OR($Q154=Parametres!$G$2,$Q154=Parametres!$G$3),I154,C154)</f>
        <v>-1021.57</v>
      </c>
      <c r="O154" s="152">
        <f>+IF(OR($Q154=Parametres!$G$2,$Q154=Parametres!$G$3),J154,D154)</f>
        <v>155.52000000000001</v>
      </c>
      <c r="P154" s="152">
        <f>+IF(OR($Q154=Parametres!$G$2,$Q154=Parametres!$G$3),K154,E154)</f>
        <v>-866.05</v>
      </c>
      <c r="Q154" s="151" t="str">
        <f t="shared" si="11"/>
        <v>3-Passifs</v>
      </c>
      <c r="R154" s="150" t="str">
        <f t="shared" si="11"/>
        <v>2220</v>
      </c>
      <c r="S154" s="151">
        <f t="shared" si="11"/>
        <v>0</v>
      </c>
      <c r="T154" s="153">
        <f>+VLOOKUP($L154,Data_Validation!$A:$D,1,0)</f>
        <v>2220</v>
      </c>
      <c r="U154" s="153" t="str">
        <f>+VLOOKUP($L154,Data_Validation!$A:$D,3,0)</f>
        <v>Bilan</v>
      </c>
      <c r="V154" s="153" t="str">
        <f>+VLOOKUP($L154,Data_Validation!$A:$D,4,0)</f>
        <v>Taxes de Vente à Payer</v>
      </c>
      <c r="W154" s="153" t="str">
        <f>+VLOOKUP($L154,Data_Validation!$A:$E,5,0)</f>
        <v>$</v>
      </c>
      <c r="X154" s="153">
        <f>+VLOOKUP($L154,Data_Validation!$A:$F,6,0)</f>
        <v>0</v>
      </c>
    </row>
    <row r="155" spans="1:24" ht="15.75" customHeight="1">
      <c r="A155" s="1430" t="s">
        <v>2049</v>
      </c>
      <c r="B155" s="1431">
        <v>2221</v>
      </c>
      <c r="C155" s="1433">
        <v>-88588.08</v>
      </c>
      <c r="D155" s="1433">
        <v>-19026.59</v>
      </c>
      <c r="E155" s="1433">
        <v>-107614.67</v>
      </c>
      <c r="F155" s="1430" t="s">
        <v>279</v>
      </c>
      <c r="G155" s="1430" t="s">
        <v>2050</v>
      </c>
      <c r="H155" s="1237"/>
      <c r="I155" s="1237"/>
      <c r="J155" s="1237"/>
      <c r="K155" s="1237"/>
      <c r="L155" s="150">
        <f t="shared" si="0"/>
        <v>2221</v>
      </c>
      <c r="M155" s="151" t="str">
        <f t="shared" si="1"/>
        <v>TVQ A PAYER</v>
      </c>
      <c r="N155" s="152">
        <f>+IF(OR($Q155=Parametres!$G$2,$Q155=Parametres!$G$3),I155,C155)</f>
        <v>-88588.08</v>
      </c>
      <c r="O155" s="152">
        <f>+IF(OR($Q155=Parametres!$G$2,$Q155=Parametres!$G$3),J155,D155)</f>
        <v>-19026.59</v>
      </c>
      <c r="P155" s="152">
        <f>+IF(OR($Q155=Parametres!$G$2,$Q155=Parametres!$G$3),K155,E155)</f>
        <v>-107614.67</v>
      </c>
      <c r="Q155" s="151" t="str">
        <f t="shared" si="11"/>
        <v>3-Passifs</v>
      </c>
      <c r="R155" s="150" t="str">
        <f t="shared" si="11"/>
        <v>2221</v>
      </c>
      <c r="S155" s="151">
        <f t="shared" si="11"/>
        <v>0</v>
      </c>
      <c r="T155" s="153">
        <f>+VLOOKUP($L155,Data_Validation!$A:$D,1,0)</f>
        <v>2221</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430" t="s">
        <v>2787</v>
      </c>
      <c r="B156" s="1431">
        <v>2222</v>
      </c>
      <c r="C156" s="1433">
        <v>54028.87</v>
      </c>
      <c r="D156" s="1433">
        <v>17292.169999999998</v>
      </c>
      <c r="E156" s="1433">
        <v>71321.039999999994</v>
      </c>
      <c r="F156" s="1430" t="s">
        <v>279</v>
      </c>
      <c r="G156" s="1430" t="s">
        <v>2050</v>
      </c>
      <c r="H156" s="1237"/>
      <c r="I156" s="1237"/>
      <c r="J156" s="1237"/>
      <c r="K156" s="1237"/>
      <c r="L156" s="150">
        <f t="shared" si="0"/>
        <v>2222</v>
      </c>
      <c r="M156" s="151" t="str">
        <f t="shared" si="1"/>
        <v>TVQ A RECEVOIR</v>
      </c>
      <c r="N156" s="152">
        <f>+IF(OR($Q156=Parametres!$G$2,$Q156=Parametres!$G$3),I156,C156)</f>
        <v>54028.87</v>
      </c>
      <c r="O156" s="152">
        <f>+IF(OR($Q156=Parametres!$G$2,$Q156=Parametres!$G$3),J156,D156)</f>
        <v>17292.169999999998</v>
      </c>
      <c r="P156" s="152">
        <f>+IF(OR($Q156=Parametres!$G$2,$Q156=Parametres!$G$3),K156,E156)</f>
        <v>71321.039999999994</v>
      </c>
      <c r="Q156" s="151" t="str">
        <f t="shared" si="11"/>
        <v>3-Passifs</v>
      </c>
      <c r="R156" s="150" t="str">
        <f t="shared" si="11"/>
        <v>2221</v>
      </c>
      <c r="S156" s="151">
        <f t="shared" si="11"/>
        <v>0</v>
      </c>
      <c r="T156" s="153">
        <f>+VLOOKUP($L156,Data_Validation!$A:$D,1,0)</f>
        <v>2222</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430" t="s">
        <v>2804</v>
      </c>
      <c r="B157" s="1431">
        <v>2223</v>
      </c>
      <c r="C157" s="1433">
        <v>-297596.12</v>
      </c>
      <c r="D157" s="1433">
        <v>-25639.54</v>
      </c>
      <c r="E157" s="1433">
        <v>-323235.65999999997</v>
      </c>
      <c r="F157" s="1430" t="s">
        <v>279</v>
      </c>
      <c r="G157" s="1430" t="s">
        <v>2059</v>
      </c>
      <c r="H157" s="1237"/>
      <c r="I157" s="1237"/>
      <c r="J157" s="1237"/>
      <c r="K157" s="1237"/>
      <c r="L157" s="150">
        <f t="shared" si="0"/>
        <v>2223</v>
      </c>
      <c r="M157" s="151" t="str">
        <f t="shared" si="1"/>
        <v>TPS A PAYER</v>
      </c>
      <c r="N157" s="152">
        <f>+IF(OR($Q157=Parametres!$G$2,$Q157=Parametres!$G$3),I157,C157)</f>
        <v>-297596.12</v>
      </c>
      <c r="O157" s="152">
        <f>+IF(OR($Q157=Parametres!$G$2,$Q157=Parametres!$G$3),J157,D157)</f>
        <v>-25639.54</v>
      </c>
      <c r="P157" s="152">
        <f>+IF(OR($Q157=Parametres!$G$2,$Q157=Parametres!$G$3),K157,E157)</f>
        <v>-323235.65999999997</v>
      </c>
      <c r="Q157" s="151" t="str">
        <f t="shared" si="11"/>
        <v>3-Passifs</v>
      </c>
      <c r="R157" s="150" t="str">
        <f t="shared" si="11"/>
        <v>2223</v>
      </c>
      <c r="S157" s="151">
        <f t="shared" si="11"/>
        <v>0</v>
      </c>
      <c r="T157" s="153">
        <f>+VLOOKUP($L157,Data_Validation!$A:$D,1,0)</f>
        <v>2223</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430" t="s">
        <v>2057</v>
      </c>
      <c r="B158" s="1431">
        <v>2224</v>
      </c>
      <c r="C158" s="1433">
        <v>222807.51</v>
      </c>
      <c r="D158" s="1433">
        <v>4817.47</v>
      </c>
      <c r="E158" s="1433">
        <v>227624.98</v>
      </c>
      <c r="F158" s="1430" t="s">
        <v>279</v>
      </c>
      <c r="G158" s="1430" t="s">
        <v>2059</v>
      </c>
      <c r="H158" s="1237"/>
      <c r="I158" s="1237"/>
      <c r="J158" s="1237"/>
      <c r="K158" s="1237"/>
      <c r="L158" s="150">
        <f t="shared" si="0"/>
        <v>2224</v>
      </c>
      <c r="M158" s="151" t="str">
        <f t="shared" si="1"/>
        <v>TPS A RECEVOIR</v>
      </c>
      <c r="N158" s="152">
        <f>+IF(OR($Q158=Parametres!$G$2,$Q158=Parametres!$G$3),I158,C158)</f>
        <v>222807.51</v>
      </c>
      <c r="O158" s="152">
        <f>+IF(OR($Q158=Parametres!$G$2,$Q158=Parametres!$G$3),J158,D158)</f>
        <v>4817.47</v>
      </c>
      <c r="P158" s="152">
        <f>+IF(OR($Q158=Parametres!$G$2,$Q158=Parametres!$G$3),K158,E158)</f>
        <v>227624.98</v>
      </c>
      <c r="Q158" s="151" t="str">
        <f t="shared" si="11"/>
        <v>3-Passifs</v>
      </c>
      <c r="R158" s="150" t="str">
        <f t="shared" si="11"/>
        <v>2223</v>
      </c>
      <c r="S158" s="151">
        <f t="shared" si="11"/>
        <v>0</v>
      </c>
      <c r="T158" s="153">
        <f>+VLOOKUP($L158,Data_Validation!$A:$D,1,0)</f>
        <v>2224</v>
      </c>
      <c r="U158" s="153" t="str">
        <f>+VLOOKUP($L158,Data_Validation!$A:$D,3,0)</f>
        <v>Bilan</v>
      </c>
      <c r="V158" s="153" t="str">
        <f>+VLOOKUP($L158,Data_Validation!$A:$D,4,0)</f>
        <v>Taxes de Vente à Payer</v>
      </c>
      <c r="W158" s="153" t="str">
        <f>+VLOOKUP($L158,Data_Validation!$A:$E,5,0)</f>
        <v>$</v>
      </c>
      <c r="X158" s="153">
        <f>+VLOOKUP($L158,Data_Validation!$A:$F,6,0)</f>
        <v>0</v>
      </c>
    </row>
    <row r="159" spans="1:24" ht="15.75" customHeight="1">
      <c r="A159" s="1430" t="s">
        <v>2607</v>
      </c>
      <c r="B159" s="1431">
        <v>2225</v>
      </c>
      <c r="C159" s="1433">
        <v>-2274</v>
      </c>
      <c r="D159" s="1433">
        <v>-444</v>
      </c>
      <c r="E159" s="1433">
        <v>-2718</v>
      </c>
      <c r="F159" s="1430" t="s">
        <v>279</v>
      </c>
      <c r="G159" s="1430" t="s">
        <v>2050</v>
      </c>
      <c r="H159" s="1237"/>
      <c r="I159" s="1237"/>
      <c r="J159" s="1237"/>
      <c r="K159" s="1237"/>
      <c r="L159" s="150">
        <f t="shared" si="0"/>
        <v>2225</v>
      </c>
      <c r="M159" s="151" t="str">
        <f t="shared" si="1"/>
        <v>DROIT SUR PNEUS</v>
      </c>
      <c r="N159" s="152">
        <f>+IF(OR($Q159=Parametres!$G$2,$Q159=Parametres!$G$3),I159,C159)</f>
        <v>-2274</v>
      </c>
      <c r="O159" s="152">
        <f>+IF(OR($Q159=Parametres!$G$2,$Q159=Parametres!$G$3),J159,D159)</f>
        <v>-444</v>
      </c>
      <c r="P159" s="152">
        <f>+IF(OR($Q159=Parametres!$G$2,$Q159=Parametres!$G$3),K159,E159)</f>
        <v>-2718</v>
      </c>
      <c r="Q159" s="151" t="str">
        <f t="shared" si="11"/>
        <v>3-Passifs</v>
      </c>
      <c r="R159" s="150" t="str">
        <f t="shared" si="11"/>
        <v>2221</v>
      </c>
      <c r="S159" s="151">
        <f t="shared" si="11"/>
        <v>0</v>
      </c>
      <c r="T159" s="153">
        <f>+VLOOKUP($L159,Data_Validation!$A:$D,1,0)</f>
        <v>2225</v>
      </c>
      <c r="U159" s="153" t="str">
        <f>+VLOOKUP($L159,Data_Validation!$A:$D,3,0)</f>
        <v>Bilan</v>
      </c>
      <c r="V159" s="153" t="str">
        <f>+VLOOKUP($L159,Data_Validation!$A:$D,4,0)</f>
        <v>Taxes de Vente à Payer</v>
      </c>
      <c r="W159" s="153" t="str">
        <f>+VLOOKUP($L159,Data_Validation!$A:$E,5,0)</f>
        <v>$</v>
      </c>
      <c r="X159" s="153">
        <f>+VLOOKUP($L159,Data_Validation!$A:$F,6,0)</f>
        <v>0</v>
      </c>
    </row>
    <row r="160" spans="1:24" ht="15" customHeight="1">
      <c r="A160" s="1430" t="s">
        <v>2809</v>
      </c>
      <c r="B160" s="1431">
        <v>2281</v>
      </c>
      <c r="C160" s="1433">
        <v>-214055.62</v>
      </c>
      <c r="D160" s="1433">
        <v>-35180.94</v>
      </c>
      <c r="E160" s="1433">
        <v>-249236.56</v>
      </c>
      <c r="F160" s="1430" t="s">
        <v>279</v>
      </c>
      <c r="G160" s="1430" t="s">
        <v>2127</v>
      </c>
      <c r="H160" s="1237"/>
      <c r="I160" s="1238"/>
      <c r="J160" s="1238"/>
      <c r="K160" s="1238"/>
      <c r="L160" s="150">
        <f t="shared" si="0"/>
        <v>2281</v>
      </c>
      <c r="M160" s="151" t="str">
        <f t="shared" si="1"/>
        <v>LIEN A PAYER</v>
      </c>
      <c r="N160" s="152">
        <f>+IF(OR($Q160=Parametres!$G$2,$Q160=Parametres!$G$3),I160,C160)</f>
        <v>-214055.62</v>
      </c>
      <c r="O160" s="152">
        <f>+IF(OR($Q160=Parametres!$G$2,$Q160=Parametres!$G$3),J160,D160)</f>
        <v>-35180.94</v>
      </c>
      <c r="P160" s="152">
        <f>+IF(OR($Q160=Parametres!$G$2,$Q160=Parametres!$G$3),K160,E160)</f>
        <v>-249236.56</v>
      </c>
      <c r="Q160" s="151" t="str">
        <f t="shared" si="11"/>
        <v>3-Passifs</v>
      </c>
      <c r="R160" s="150" t="str">
        <f t="shared" si="11"/>
        <v>2283</v>
      </c>
      <c r="S160" s="151">
        <f t="shared" si="11"/>
        <v>0</v>
      </c>
      <c r="T160" s="153">
        <f>+VLOOKUP($L160,Data_Validation!$A:$D,1,0)</f>
        <v>2281</v>
      </c>
      <c r="U160" s="153" t="str">
        <f>+VLOOKUP($L160,Data_Validation!$A:$D,3,0)</f>
        <v>Bilan</v>
      </c>
      <c r="V160" s="153" t="str">
        <f>+VLOOKUP($L160,Data_Validation!$A:$D,4,0)</f>
        <v>Autres Comptes à Payer</v>
      </c>
      <c r="W160" s="153" t="str">
        <f>+VLOOKUP($L160,Data_Validation!$A:$E,5,0)</f>
        <v>$</v>
      </c>
      <c r="X160" s="153">
        <f>+VLOOKUP($L160,Data_Validation!$A:$F,6,0)</f>
        <v>0</v>
      </c>
    </row>
    <row r="161" spans="1:24" ht="15" customHeight="1">
      <c r="A161" s="1430" t="s">
        <v>2166</v>
      </c>
      <c r="B161" s="1431">
        <v>2283</v>
      </c>
      <c r="C161" s="1433">
        <v>-950</v>
      </c>
      <c r="D161" s="1433">
        <v>-940</v>
      </c>
      <c r="E161" s="1433">
        <v>-1890</v>
      </c>
      <c r="F161" s="1430" t="s">
        <v>279</v>
      </c>
      <c r="G161" s="1430" t="s">
        <v>2127</v>
      </c>
      <c r="H161" s="1231"/>
      <c r="I161" s="1231"/>
      <c r="J161" s="1231"/>
      <c r="K161" s="1231"/>
      <c r="L161" s="150">
        <f t="shared" si="0"/>
        <v>2283</v>
      </c>
      <c r="M161" s="151" t="str">
        <f t="shared" si="1"/>
        <v>PLAQUE A PAYER</v>
      </c>
      <c r="N161" s="152">
        <f>+IF(OR($Q161=Parametres!$G$2,$Q161=Parametres!$G$3),I161,C161)</f>
        <v>-950</v>
      </c>
      <c r="O161" s="152">
        <f>+IF(OR($Q161=Parametres!$G$2,$Q161=Parametres!$G$3),J161,D161)</f>
        <v>-940</v>
      </c>
      <c r="P161" s="152">
        <f>+IF(OR($Q161=Parametres!$G$2,$Q161=Parametres!$G$3),K161,E161)</f>
        <v>-1890</v>
      </c>
      <c r="Q161" s="151" t="str">
        <f t="shared" si="11"/>
        <v>3-Passifs</v>
      </c>
      <c r="R161" s="150" t="str">
        <f t="shared" si="11"/>
        <v>2283</v>
      </c>
      <c r="S161" s="151">
        <f t="shared" si="11"/>
        <v>0</v>
      </c>
      <c r="T161" s="153">
        <f>+VLOOKUP($L161,Data_Validation!$A:$D,1,0)</f>
        <v>2283</v>
      </c>
      <c r="U161" s="153" t="str">
        <f>+VLOOKUP($L161,Data_Validation!$A:$D,3,0)</f>
        <v>Bilan</v>
      </c>
      <c r="V161" s="153" t="str">
        <f>+VLOOKUP($L161,Data_Validation!$A:$D,4,0)</f>
        <v>Autres Comptes à Payer</v>
      </c>
      <c r="W161" s="153" t="str">
        <f>+VLOOKUP($L161,Data_Validation!$A:$E,5,0)</f>
        <v>$</v>
      </c>
      <c r="X161" s="153">
        <f>+VLOOKUP($L161,Data_Validation!$A:$F,6,0)</f>
        <v>0</v>
      </c>
    </row>
    <row r="162" spans="1:24" ht="15" customHeight="1">
      <c r="A162" s="1430" t="s">
        <v>2763</v>
      </c>
      <c r="B162" s="1431">
        <v>2285</v>
      </c>
      <c r="C162" s="1433">
        <v>-94652.2</v>
      </c>
      <c r="D162" s="1433">
        <v>-5096.8</v>
      </c>
      <c r="E162" s="1433">
        <v>-99749</v>
      </c>
      <c r="F162" s="1430" t="s">
        <v>279</v>
      </c>
      <c r="G162" s="1430" t="s">
        <v>2127</v>
      </c>
      <c r="H162" s="1231"/>
      <c r="I162" s="1231"/>
      <c r="J162" s="1231"/>
      <c r="K162" s="1231"/>
      <c r="L162" s="150">
        <f t="shared" si="0"/>
        <v>2285</v>
      </c>
      <c r="M162" s="151" t="str">
        <f t="shared" si="1"/>
        <v>PROTECTIONS A PAYER</v>
      </c>
      <c r="N162" s="152">
        <f>+IF(OR($Q162=Parametres!$G$2,$Q162=Parametres!$G$3),I162,C162)</f>
        <v>-94652.2</v>
      </c>
      <c r="O162" s="152">
        <f>+IF(OR($Q162=Parametres!$G$2,$Q162=Parametres!$G$3),J162,D162)</f>
        <v>-5096.8</v>
      </c>
      <c r="P162" s="152">
        <f>+IF(OR($Q162=Parametres!$G$2,$Q162=Parametres!$G$3),K162,E162)</f>
        <v>-99749</v>
      </c>
      <c r="Q162" s="151" t="str">
        <f t="shared" ref="Q162:S177" si="12">+F162</f>
        <v>3-Passifs</v>
      </c>
      <c r="R162" s="150" t="str">
        <f t="shared" si="12"/>
        <v>2283</v>
      </c>
      <c r="S162" s="151">
        <f t="shared" si="12"/>
        <v>0</v>
      </c>
      <c r="T162" s="153">
        <f>+VLOOKUP($L162,Data_Validation!$A:$D,1,0)</f>
        <v>2285</v>
      </c>
      <c r="U162" s="153" t="str">
        <f>+VLOOKUP($L162,Data_Validation!$A:$D,3,0)</f>
        <v>Bilan</v>
      </c>
      <c r="V162" s="153" t="str">
        <f>+VLOOKUP($L162,Data_Validation!$A:$D,4,0)</f>
        <v>Autres Comptes à Payer</v>
      </c>
      <c r="W162" s="153" t="str">
        <f>+VLOOKUP($L162,Data_Validation!$A:$E,5,0)</f>
        <v>$</v>
      </c>
      <c r="X162" s="153">
        <f>+VLOOKUP($L162,Data_Validation!$A:$F,6,0)</f>
        <v>0</v>
      </c>
    </row>
    <row r="163" spans="1:24" ht="15.75" customHeight="1">
      <c r="A163" s="1430" t="s">
        <v>2737</v>
      </c>
      <c r="B163" s="1431">
        <v>2287</v>
      </c>
      <c r="C163" s="1433">
        <v>-15088.31</v>
      </c>
      <c r="D163" s="1433">
        <v>-2352.71</v>
      </c>
      <c r="E163" s="1433">
        <v>-17441.02</v>
      </c>
      <c r="F163" s="1430" t="s">
        <v>279</v>
      </c>
      <c r="G163" s="1430" t="s">
        <v>2127</v>
      </c>
      <c r="H163" s="1231"/>
      <c r="I163" s="1231"/>
      <c r="J163" s="1231"/>
      <c r="K163" s="1231"/>
      <c r="L163" s="150">
        <f t="shared" si="0"/>
        <v>2287</v>
      </c>
      <c r="M163" s="151" t="str">
        <f t="shared" si="1"/>
        <v>A PAYER INVAPLAN</v>
      </c>
      <c r="N163" s="152">
        <f>+IF(OR($Q163=Parametres!$G$2,$Q163=Parametres!$G$3),I163,C163)</f>
        <v>-15088.31</v>
      </c>
      <c r="O163" s="152">
        <f>+IF(OR($Q163=Parametres!$G$2,$Q163=Parametres!$G$3),J163,D163)</f>
        <v>-2352.71</v>
      </c>
      <c r="P163" s="152">
        <f>+IF(OR($Q163=Parametres!$G$2,$Q163=Parametres!$G$3),K163,E163)</f>
        <v>-17441.02</v>
      </c>
      <c r="Q163" s="151" t="str">
        <f t="shared" si="12"/>
        <v>3-Passifs</v>
      </c>
      <c r="R163" s="150" t="str">
        <f t="shared" si="12"/>
        <v>2283</v>
      </c>
      <c r="S163" s="151">
        <f t="shared" si="12"/>
        <v>0</v>
      </c>
      <c r="T163" s="153">
        <f>+VLOOKUP($L163,Data_Validation!$A:$D,1,0)</f>
        <v>2287</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430" t="s">
        <v>2002</v>
      </c>
      <c r="B164" s="1431">
        <v>2291</v>
      </c>
      <c r="C164" s="1433">
        <v>-51310.29</v>
      </c>
      <c r="D164" s="1433">
        <v>-284998.74</v>
      </c>
      <c r="E164" s="1433">
        <v>-336309.03</v>
      </c>
      <c r="F164" s="1430" t="s">
        <v>279</v>
      </c>
      <c r="G164" s="1430" t="s">
        <v>2003</v>
      </c>
      <c r="H164" s="1231"/>
      <c r="I164" s="1231"/>
      <c r="J164" s="1231"/>
      <c r="K164" s="1231"/>
      <c r="L164" s="150">
        <f t="shared" si="0"/>
        <v>2291</v>
      </c>
      <c r="M164" s="151" t="str">
        <f t="shared" si="1"/>
        <v>COMPTES FOURNISSEURS</v>
      </c>
      <c r="N164" s="152">
        <f>+IF(OR($Q164=Parametres!$G$2,$Q164=Parametres!$G$3),I164,C164)</f>
        <v>-51310.29</v>
      </c>
      <c r="O164" s="152">
        <f>+IF(OR($Q164=Parametres!$G$2,$Q164=Parametres!$G$3),J164,D164)</f>
        <v>-284998.74</v>
      </c>
      <c r="P164" s="152">
        <f>+IF(OR($Q164=Parametres!$G$2,$Q164=Parametres!$G$3),K164,E164)</f>
        <v>-336309.03</v>
      </c>
      <c r="Q164" s="151" t="str">
        <f t="shared" si="12"/>
        <v>3-Passifs</v>
      </c>
      <c r="R164" s="150" t="str">
        <f t="shared" si="12"/>
        <v>2291</v>
      </c>
      <c r="S164" s="151">
        <f t="shared" si="12"/>
        <v>0</v>
      </c>
      <c r="T164" s="153">
        <f>+VLOOKUP($L164,Data_Validation!$A:$D,1,0)</f>
        <v>2291</v>
      </c>
      <c r="U164" s="153" t="str">
        <f>+VLOOKUP($L164,Data_Validation!$A:$D,3,0)</f>
        <v>Bilan</v>
      </c>
      <c r="V164" s="153" t="str">
        <f>+VLOOKUP($L164,Data_Validation!$A:$D,4,0)</f>
        <v>Comptes à Payer Fournisseurs</v>
      </c>
      <c r="W164" s="153" t="str">
        <f>+VLOOKUP($L164,Data_Validation!$A:$E,5,0)</f>
        <v>$</v>
      </c>
      <c r="X164" s="153">
        <f>+VLOOKUP($L164,Data_Validation!$A:$F,6,0)</f>
        <v>0</v>
      </c>
    </row>
    <row r="165" spans="1:24" ht="15" customHeight="1">
      <c r="A165" s="1430" t="s">
        <v>2042</v>
      </c>
      <c r="B165" s="1431">
        <v>2292</v>
      </c>
      <c r="C165" s="1433">
        <v>-45693.59</v>
      </c>
      <c r="D165" s="1433">
        <v>45693.59</v>
      </c>
      <c r="E165" s="1433">
        <v>0</v>
      </c>
      <c r="F165" s="1430" t="s">
        <v>279</v>
      </c>
      <c r="G165" s="1430" t="s">
        <v>2003</v>
      </c>
      <c r="H165" s="1231"/>
      <c r="I165" s="1232"/>
      <c r="J165" s="1232"/>
      <c r="K165" s="1232"/>
      <c r="L165" s="150">
        <f t="shared" si="0"/>
        <v>2292</v>
      </c>
      <c r="M165" s="151" t="str">
        <f t="shared" si="1"/>
        <v>ECHANGE ENTRE CONCESSIONNAIRES</v>
      </c>
      <c r="N165" s="152">
        <f>+IF(OR($Q165=Parametres!$G$2,$Q165=Parametres!$G$3),I165,C165)</f>
        <v>-45693.59</v>
      </c>
      <c r="O165" s="152">
        <f>+IF(OR($Q165=Parametres!$G$2,$Q165=Parametres!$G$3),J165,D165)</f>
        <v>45693.59</v>
      </c>
      <c r="P165" s="152">
        <f>+IF(OR($Q165=Parametres!$G$2,$Q165=Parametres!$G$3),K165,E165)</f>
        <v>0</v>
      </c>
      <c r="Q165" s="151" t="str">
        <f t="shared" si="12"/>
        <v>3-Passifs</v>
      </c>
      <c r="R165" s="150" t="str">
        <f t="shared" si="12"/>
        <v>2291</v>
      </c>
      <c r="S165" s="151">
        <f t="shared" si="12"/>
        <v>0</v>
      </c>
      <c r="T165" s="153">
        <f>+VLOOKUP($L165,Data_Validation!$A:$D,1,0)</f>
        <v>2292</v>
      </c>
      <c r="U165" s="153" t="str">
        <f>+VLOOKUP($L165,Data_Validation!$A:$D,3,0)</f>
        <v>Bilan</v>
      </c>
      <c r="V165" s="153" t="str">
        <f>+VLOOKUP($L165,Data_Validation!$A:$D,4,0)</f>
        <v>Autres Comptes à Payer</v>
      </c>
      <c r="W165" s="153" t="str">
        <f>+VLOOKUP($L165,Data_Validation!$A:$E,5,0)</f>
        <v>$</v>
      </c>
      <c r="X165" s="153">
        <f>+VLOOKUP($L165,Data_Validation!$A:$F,6,0)</f>
        <v>0</v>
      </c>
    </row>
    <row r="166" spans="1:24" ht="15" customHeight="1">
      <c r="A166" s="1430" t="s">
        <v>3612</v>
      </c>
      <c r="B166" s="1431">
        <v>2296</v>
      </c>
      <c r="C166" s="1433">
        <v>-178201.83</v>
      </c>
      <c r="D166" s="1433">
        <v>76688.86</v>
      </c>
      <c r="E166" s="1433">
        <v>-101512.97</v>
      </c>
      <c r="F166" s="1430" t="s">
        <v>279</v>
      </c>
      <c r="G166" s="1430" t="s">
        <v>2003</v>
      </c>
      <c r="H166" s="1231"/>
      <c r="I166" s="1231"/>
      <c r="J166" s="1231"/>
      <c r="K166" s="1231"/>
      <c r="L166" s="150">
        <f t="shared" si="0"/>
        <v>2296</v>
      </c>
      <c r="M166" s="151" t="str">
        <f t="shared" si="1"/>
        <v>COMPTE FOURNISSEURS INTERCO</v>
      </c>
      <c r="N166" s="152">
        <f>+IF(OR($Q166=Parametres!$G$2,$Q166=Parametres!$G$3),I166,C166)</f>
        <v>-178201.83</v>
      </c>
      <c r="O166" s="152">
        <f>+IF(OR($Q166=Parametres!$G$2,$Q166=Parametres!$G$3),J166,D166)</f>
        <v>76688.86</v>
      </c>
      <c r="P166" s="152">
        <f>+IF(OR($Q166=Parametres!$G$2,$Q166=Parametres!$G$3),K166,E166)</f>
        <v>-101512.97</v>
      </c>
      <c r="Q166" s="151" t="str">
        <f t="shared" si="12"/>
        <v>3-Passifs</v>
      </c>
      <c r="R166" s="150" t="str">
        <f t="shared" si="12"/>
        <v>2291</v>
      </c>
      <c r="S166" s="151">
        <f t="shared" si="12"/>
        <v>0</v>
      </c>
      <c r="T166" s="153">
        <f>+VLOOKUP($L166,Data_Validation!$A:$D,1,0)</f>
        <v>2296</v>
      </c>
      <c r="U166" s="153" t="str">
        <f>+VLOOKUP($L166,Data_Validation!$A:$D,3,0)</f>
        <v>Bilan</v>
      </c>
      <c r="V166" s="153" t="str">
        <f>+VLOOKUP($L166,Data_Validation!$A:$D,4,0)</f>
        <v>Payables Intercos</v>
      </c>
      <c r="W166" s="153" t="str">
        <f>+VLOOKUP($L166,Data_Validation!$A:$E,5,0)</f>
        <v>$</v>
      </c>
      <c r="X166" s="153">
        <f>+VLOOKUP($L166,Data_Validation!$A:$F,6,0)</f>
        <v>0</v>
      </c>
    </row>
    <row r="167" spans="1:24" ht="15" customHeight="1">
      <c r="A167" s="1430" t="s">
        <v>2139</v>
      </c>
      <c r="B167" s="1431">
        <v>2297</v>
      </c>
      <c r="C167" s="1433">
        <v>-6850</v>
      </c>
      <c r="D167" s="1433">
        <v>-400</v>
      </c>
      <c r="E167" s="1433">
        <v>-7250</v>
      </c>
      <c r="F167" s="1430" t="s">
        <v>279</v>
      </c>
      <c r="G167" s="1430" t="s">
        <v>2127</v>
      </c>
      <c r="H167" s="1231"/>
      <c r="I167" s="1232"/>
      <c r="J167" s="1232"/>
      <c r="K167" s="1232"/>
      <c r="L167" s="150">
        <f t="shared" si="0"/>
        <v>2297</v>
      </c>
      <c r="M167" s="151" t="str">
        <f t="shared" si="1"/>
        <v>RESERVE RENOUVELLEMENT</v>
      </c>
      <c r="N167" s="152">
        <f>+IF(OR($Q167=Parametres!$G$2,$Q167=Parametres!$G$3),I167,C167)</f>
        <v>-6850</v>
      </c>
      <c r="O167" s="152">
        <f>+IF(OR($Q167=Parametres!$G$2,$Q167=Parametres!$G$3),J167,D167)</f>
        <v>-400</v>
      </c>
      <c r="P167" s="152">
        <f>+IF(OR($Q167=Parametres!$G$2,$Q167=Parametres!$G$3),K167,E167)</f>
        <v>-7250</v>
      </c>
      <c r="Q167" s="151" t="str">
        <f t="shared" si="12"/>
        <v>3-Passifs</v>
      </c>
      <c r="R167" s="150" t="str">
        <f t="shared" si="12"/>
        <v>2283</v>
      </c>
      <c r="S167" s="151">
        <f t="shared" si="12"/>
        <v>0</v>
      </c>
      <c r="T167" s="153">
        <f>+VLOOKUP($L167,Data_Validation!$A:$D,1,0)</f>
        <v>2297</v>
      </c>
      <c r="U167" s="153" t="str">
        <f>+VLOOKUP($L167,Data_Validation!$A:$D,3,0)</f>
        <v>Bilan</v>
      </c>
      <c r="V167" s="153" t="str">
        <f>+VLOOKUP($L167,Data_Validation!$A:$D,4,0)</f>
        <v>Autres Courus</v>
      </c>
      <c r="W167" s="153" t="str">
        <f>+VLOOKUP($L167,Data_Validation!$A:$E,5,0)</f>
        <v>$</v>
      </c>
      <c r="X167" s="153">
        <f>+VLOOKUP($L167,Data_Validation!$A:$F,6,0)</f>
        <v>0</v>
      </c>
    </row>
    <row r="168" spans="1:24" ht="15.75" customHeight="1">
      <c r="A168" s="1430" t="s">
        <v>2701</v>
      </c>
      <c r="B168" s="1431">
        <v>2315</v>
      </c>
      <c r="C168" s="1433">
        <v>2874.35</v>
      </c>
      <c r="D168" s="1433">
        <v>1199.22</v>
      </c>
      <c r="E168" s="1433">
        <v>4073.57</v>
      </c>
      <c r="F168" s="1430" t="s">
        <v>279</v>
      </c>
      <c r="G168" s="1430" t="s">
        <v>2155</v>
      </c>
      <c r="H168" s="1231"/>
      <c r="I168" s="1231"/>
      <c r="J168" s="1231"/>
      <c r="K168" s="1231"/>
      <c r="L168" s="150">
        <f t="shared" si="0"/>
        <v>2315</v>
      </c>
      <c r="M168" s="151" t="str">
        <f t="shared" si="1"/>
        <v>PRIME ASSURANCE GROUPE</v>
      </c>
      <c r="N168" s="152">
        <f>+IF(OR($Q168=Parametres!$G$2,$Q168=Parametres!$G$3),I168,C168)</f>
        <v>2874.35</v>
      </c>
      <c r="O168" s="152">
        <f>+IF(OR($Q168=Parametres!$G$2,$Q168=Parametres!$G$3),J168,D168)</f>
        <v>1199.22</v>
      </c>
      <c r="P168" s="152">
        <f>+IF(OR($Q168=Parametres!$G$2,$Q168=Parametres!$G$3),K168,E168)</f>
        <v>4073.57</v>
      </c>
      <c r="Q168" s="151" t="str">
        <f t="shared" si="12"/>
        <v>3-Passifs</v>
      </c>
      <c r="R168" s="150" t="str">
        <f t="shared" si="12"/>
        <v>2315</v>
      </c>
      <c r="S168" s="151">
        <f t="shared" si="12"/>
        <v>0</v>
      </c>
      <c r="T168" s="153">
        <f>+VLOOKUP($L168,Data_Validation!$A:$D,1,0)</f>
        <v>2315</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1430" t="s">
        <v>2153</v>
      </c>
      <c r="B169" s="1431">
        <v>2335</v>
      </c>
      <c r="C169" s="1433">
        <v>589.19000000000005</v>
      </c>
      <c r="D169" s="1433">
        <v>61.16</v>
      </c>
      <c r="E169" s="1433">
        <v>650.35</v>
      </c>
      <c r="F169" s="1430" t="s">
        <v>279</v>
      </c>
      <c r="G169" s="1430" t="s">
        <v>2155</v>
      </c>
      <c r="H169" s="1231"/>
      <c r="I169" s="1232"/>
      <c r="J169" s="1232"/>
      <c r="K169" s="1232"/>
      <c r="L169" s="150">
        <f t="shared" si="0"/>
        <v>2335</v>
      </c>
      <c r="M169" s="151" t="str">
        <f t="shared" si="1"/>
        <v>COMITE SOCIAL</v>
      </c>
      <c r="N169" s="152">
        <f>+IF(OR($Q169=Parametres!$G$2,$Q169=Parametres!$G$3),I169,C169)</f>
        <v>589.19000000000005</v>
      </c>
      <c r="O169" s="152">
        <f>+IF(OR($Q169=Parametres!$G$2,$Q169=Parametres!$G$3),J169,D169)</f>
        <v>61.16</v>
      </c>
      <c r="P169" s="152">
        <f>+IF(OR($Q169=Parametres!$G$2,$Q169=Parametres!$G$3),K169,E169)</f>
        <v>650.35</v>
      </c>
      <c r="Q169" s="151" t="str">
        <f t="shared" si="12"/>
        <v>3-Passifs</v>
      </c>
      <c r="R169" s="150" t="str">
        <f t="shared" si="12"/>
        <v>2315</v>
      </c>
      <c r="S169" s="151">
        <f t="shared" si="12"/>
        <v>0</v>
      </c>
      <c r="T169" s="153">
        <f>+VLOOKUP($L169,Data_Validation!$A:$D,1,0)</f>
        <v>2335</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430" t="s">
        <v>2740</v>
      </c>
      <c r="B170" s="1431">
        <v>2342</v>
      </c>
      <c r="C170" s="1433">
        <v>-29343.02</v>
      </c>
      <c r="D170" s="1433">
        <v>-243.55</v>
      </c>
      <c r="E170" s="1433">
        <v>-29586.57</v>
      </c>
      <c r="F170" s="1430" t="s">
        <v>279</v>
      </c>
      <c r="G170" s="1430" t="s">
        <v>2155</v>
      </c>
      <c r="H170" s="1231"/>
      <c r="I170" s="1231"/>
      <c r="J170" s="1231"/>
      <c r="K170" s="1231"/>
      <c r="L170" s="150">
        <f t="shared" si="0"/>
        <v>2342</v>
      </c>
      <c r="M170" s="151" t="str">
        <f t="shared" si="1"/>
        <v>REER STANDARD LIFE</v>
      </c>
      <c r="N170" s="152">
        <f>+IF(OR($Q170=Parametres!$G$2,$Q170=Parametres!$G$3),I170,C170)</f>
        <v>-29343.02</v>
      </c>
      <c r="O170" s="152">
        <f>+IF(OR($Q170=Parametres!$G$2,$Q170=Parametres!$G$3),J170,D170)</f>
        <v>-243.55</v>
      </c>
      <c r="P170" s="152">
        <f>+IF(OR($Q170=Parametres!$G$2,$Q170=Parametres!$G$3),K170,E170)</f>
        <v>-29586.57</v>
      </c>
      <c r="Q170" s="151" t="str">
        <f t="shared" si="12"/>
        <v>3-Passifs</v>
      </c>
      <c r="R170" s="150" t="str">
        <f t="shared" si="12"/>
        <v>2315</v>
      </c>
      <c r="S170" s="151">
        <f t="shared" si="12"/>
        <v>0</v>
      </c>
      <c r="T170" s="153">
        <f>+VLOOKUP($L170,Data_Validation!$A:$D,1,0)</f>
        <v>2342</v>
      </c>
      <c r="U170" s="153" t="str">
        <f>+VLOOKUP($L170,Data_Validation!$A:$D,3,0)</f>
        <v>Bilan</v>
      </c>
      <c r="V170" s="153" t="str">
        <f>+VLOOKUP($L170,Data_Validation!$A:$D,4,0)</f>
        <v>DAS à Payer</v>
      </c>
      <c r="W170" s="153" t="str">
        <f>+VLOOKUP($L170,Data_Validation!$A:$E,5,0)</f>
        <v>$</v>
      </c>
      <c r="X170" s="153">
        <f>+VLOOKUP($L170,Data_Validation!$A:$F,6,0)</f>
        <v>0</v>
      </c>
    </row>
    <row r="171" spans="1:24" ht="15" customHeight="1">
      <c r="A171" s="1430" t="s">
        <v>2573</v>
      </c>
      <c r="B171" s="1431">
        <v>2343</v>
      </c>
      <c r="C171" s="1433">
        <v>-523.98</v>
      </c>
      <c r="D171" s="1433">
        <v>29.7</v>
      </c>
      <c r="E171" s="1433">
        <v>-494.28</v>
      </c>
      <c r="F171" s="1430" t="s">
        <v>279</v>
      </c>
      <c r="G171" s="1430" t="s">
        <v>2155</v>
      </c>
      <c r="H171" s="1231"/>
      <c r="I171" s="1232"/>
      <c r="J171" s="1232"/>
      <c r="K171" s="1232"/>
      <c r="L171" s="150">
        <f t="shared" si="0"/>
        <v>2343</v>
      </c>
      <c r="M171" s="151" t="str">
        <f t="shared" si="1"/>
        <v>COMITE PARITAIRE</v>
      </c>
      <c r="N171" s="152">
        <f>+IF(OR($Q171=Parametres!$G$2,$Q171=Parametres!$G$3),I171,C171)</f>
        <v>-523.98</v>
      </c>
      <c r="O171" s="152">
        <f>+IF(OR($Q171=Parametres!$G$2,$Q171=Parametres!$G$3),J171,D171)</f>
        <v>29.7</v>
      </c>
      <c r="P171" s="152">
        <f>+IF(OR($Q171=Parametres!$G$2,$Q171=Parametres!$G$3),K171,E171)</f>
        <v>-494.28</v>
      </c>
      <c r="Q171" s="151" t="str">
        <f t="shared" si="12"/>
        <v>3-Passifs</v>
      </c>
      <c r="R171" s="150" t="str">
        <f t="shared" si="12"/>
        <v>2315</v>
      </c>
      <c r="S171" s="151">
        <f t="shared" si="12"/>
        <v>0</v>
      </c>
      <c r="T171" s="153">
        <f>+VLOOKUP($L171,Data_Validation!$A:$D,1,0)</f>
        <v>2343</v>
      </c>
      <c r="U171" s="153" t="str">
        <f>+VLOOKUP($L171,Data_Validation!$A:$D,3,0)</f>
        <v>Bilan</v>
      </c>
      <c r="V171" s="153" t="str">
        <f>+VLOOKUP($L171,Data_Validation!$A:$D,4,0)</f>
        <v>DAS à Payer</v>
      </c>
      <c r="W171" s="153" t="str">
        <f>+VLOOKUP($L171,Data_Validation!$A:$E,5,0)</f>
        <v>$</v>
      </c>
      <c r="X171" s="153">
        <f>+VLOOKUP($L171,Data_Validation!$A:$F,6,0)</f>
        <v>0</v>
      </c>
    </row>
    <row r="172" spans="1:24" ht="15.75" customHeight="1">
      <c r="A172" s="1430" t="s">
        <v>533</v>
      </c>
      <c r="B172" s="1431">
        <v>2344</v>
      </c>
      <c r="C172" s="1433">
        <v>-248</v>
      </c>
      <c r="D172" s="1433">
        <v>-249</v>
      </c>
      <c r="E172" s="1433">
        <v>-497</v>
      </c>
      <c r="F172" s="1430" t="s">
        <v>279</v>
      </c>
      <c r="G172" s="1430" t="s">
        <v>2155</v>
      </c>
      <c r="H172" s="1231"/>
      <c r="I172" s="1231"/>
      <c r="J172" s="1231"/>
      <c r="K172" s="1231"/>
      <c r="L172" s="150">
        <f t="shared" si="0"/>
        <v>2344</v>
      </c>
      <c r="M172" s="151" t="str">
        <f t="shared" si="1"/>
        <v>CENTRAIDE</v>
      </c>
      <c r="N172" s="152">
        <f>+IF(OR($Q172=Parametres!$G$2,$Q172=Parametres!$G$3),I172,C172)</f>
        <v>-248</v>
      </c>
      <c r="O172" s="152">
        <f>+IF(OR($Q172=Parametres!$G$2,$Q172=Parametres!$G$3),J172,D172)</f>
        <v>-249</v>
      </c>
      <c r="P172" s="152">
        <f>+IF(OR($Q172=Parametres!$G$2,$Q172=Parametres!$G$3),K172,E172)</f>
        <v>-497</v>
      </c>
      <c r="Q172" s="151" t="str">
        <f t="shared" si="12"/>
        <v>3-Passifs</v>
      </c>
      <c r="R172" s="150" t="str">
        <f t="shared" si="12"/>
        <v>2315</v>
      </c>
      <c r="S172" s="151">
        <f t="shared" si="12"/>
        <v>0</v>
      </c>
      <c r="T172" s="153">
        <f>+VLOOKUP($L172,Data_Validation!$A:$D,1,0)</f>
        <v>2344</v>
      </c>
      <c r="U172" s="153" t="str">
        <f>+VLOOKUP($L172,Data_Validation!$A:$D,3,0)</f>
        <v>Bilan</v>
      </c>
      <c r="V172" s="153" t="str">
        <f>+VLOOKUP($L172,Data_Validation!$A:$D,4,0)</f>
        <v>DAS à Payer</v>
      </c>
      <c r="W172" s="153" t="str">
        <f>+VLOOKUP($L172,Data_Validation!$A:$E,5,0)</f>
        <v>$</v>
      </c>
      <c r="X172" s="153">
        <f>+VLOOKUP($L172,Data_Validation!$A:$F,6,0)</f>
        <v>0</v>
      </c>
    </row>
    <row r="173" spans="1:24" ht="15" customHeight="1">
      <c r="A173" s="1430" t="s">
        <v>2186</v>
      </c>
      <c r="B173" s="1431">
        <v>2401</v>
      </c>
      <c r="C173" s="1433">
        <v>-10400</v>
      </c>
      <c r="D173" s="1433">
        <v>-850</v>
      </c>
      <c r="E173" s="1433">
        <v>-11250</v>
      </c>
      <c r="F173" s="1430" t="s">
        <v>279</v>
      </c>
      <c r="G173" s="1430" t="s">
        <v>2187</v>
      </c>
      <c r="H173" s="1231"/>
      <c r="I173" s="1232"/>
      <c r="J173" s="1232"/>
      <c r="K173" s="1232"/>
      <c r="L173" s="150">
        <f t="shared" si="0"/>
        <v>2401</v>
      </c>
      <c r="M173" s="151" t="str">
        <f t="shared" si="1"/>
        <v>DEPOTS FIDUCIE-VENTE CLIENTS</v>
      </c>
      <c r="N173" s="152">
        <f>+IF(OR($Q173=Parametres!$G$2,$Q173=Parametres!$G$3),I173,C173)</f>
        <v>-10400</v>
      </c>
      <c r="O173" s="152">
        <f>+IF(OR($Q173=Parametres!$G$2,$Q173=Parametres!$G$3),J173,D173)</f>
        <v>-850</v>
      </c>
      <c r="P173" s="152">
        <f>+IF(OR($Q173=Parametres!$G$2,$Q173=Parametres!$G$3),K173,E173)</f>
        <v>-11250</v>
      </c>
      <c r="Q173" s="151" t="str">
        <f t="shared" si="12"/>
        <v>3-Passifs</v>
      </c>
      <c r="R173" s="150" t="str">
        <f t="shared" si="12"/>
        <v>2401</v>
      </c>
      <c r="S173" s="151">
        <f t="shared" si="12"/>
        <v>0</v>
      </c>
      <c r="T173" s="153">
        <f>+VLOOKUP($L173,Data_Validation!$A:$D,1,0)</f>
        <v>2401</v>
      </c>
      <c r="U173" s="153" t="str">
        <f>+VLOOKUP($L173,Data_Validation!$A:$D,3,0)</f>
        <v>Bilan</v>
      </c>
      <c r="V173" s="153" t="str">
        <f>+VLOOKUP($L173,Data_Validation!$A:$D,4,0)</f>
        <v>Dépôts de Client</v>
      </c>
      <c r="W173" s="153" t="str">
        <f>+VLOOKUP($L173,Data_Validation!$A:$E,5,0)</f>
        <v>$</v>
      </c>
      <c r="X173" s="153">
        <f>+VLOOKUP($L173,Data_Validation!$A:$F,6,0)</f>
        <v>0</v>
      </c>
    </row>
    <row r="174" spans="1:24" ht="15" customHeight="1">
      <c r="A174" s="1430" t="s">
        <v>2591</v>
      </c>
      <c r="B174" s="1431">
        <v>2501</v>
      </c>
      <c r="C174" s="1433">
        <v>-38869.18</v>
      </c>
      <c r="D174" s="1433">
        <v>-3617.48</v>
      </c>
      <c r="E174" s="1433">
        <v>-42486.66</v>
      </c>
      <c r="F174" s="1430" t="s">
        <v>279</v>
      </c>
      <c r="G174" s="1430" t="s">
        <v>2592</v>
      </c>
      <c r="H174" s="1231"/>
      <c r="I174" s="1231"/>
      <c r="J174" s="1231"/>
      <c r="K174" s="1231"/>
      <c r="L174" s="150">
        <f t="shared" si="0"/>
        <v>2501</v>
      </c>
      <c r="M174" s="151" t="str">
        <f t="shared" si="1"/>
        <v>COMMISSION A PAYER</v>
      </c>
      <c r="N174" s="152">
        <f>+IF(OR($Q174=Parametres!$G$2,$Q174=Parametres!$G$3),I174,C174)</f>
        <v>-38869.18</v>
      </c>
      <c r="O174" s="152">
        <f>+IF(OR($Q174=Parametres!$G$2,$Q174=Parametres!$G$3),J174,D174)</f>
        <v>-3617.48</v>
      </c>
      <c r="P174" s="152">
        <f>+IF(OR($Q174=Parametres!$G$2,$Q174=Parametres!$G$3),K174,E174)</f>
        <v>-42486.66</v>
      </c>
      <c r="Q174" s="151" t="str">
        <f t="shared" si="12"/>
        <v>3-Passifs</v>
      </c>
      <c r="R174" s="150" t="str">
        <f t="shared" si="12"/>
        <v>2501</v>
      </c>
      <c r="S174" s="151">
        <f t="shared" si="12"/>
        <v>0</v>
      </c>
      <c r="T174" s="153">
        <f>+VLOOKUP($L174,Data_Validation!$A:$D,1,0)</f>
        <v>2501</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1430" t="s">
        <v>2902</v>
      </c>
      <c r="B175" s="1431">
        <v>2502</v>
      </c>
      <c r="C175" s="1433">
        <v>962.45</v>
      </c>
      <c r="D175" s="1433">
        <v>-157.04</v>
      </c>
      <c r="E175" s="1433">
        <v>805.41</v>
      </c>
      <c r="F175" s="1430" t="s">
        <v>279</v>
      </c>
      <c r="G175" s="1430" t="s">
        <v>2903</v>
      </c>
      <c r="H175" s="1231"/>
      <c r="I175" s="1232"/>
      <c r="J175" s="1232"/>
      <c r="K175" s="1232"/>
      <c r="L175" s="150">
        <f t="shared" si="0"/>
        <v>2502</v>
      </c>
      <c r="M175" s="151" t="str">
        <f t="shared" si="1"/>
        <v>Compte de depense a payer</v>
      </c>
      <c r="N175" s="152">
        <f>+IF(OR($Q175=Parametres!$G$2,$Q175=Parametres!$G$3),I175,C175)</f>
        <v>962.45</v>
      </c>
      <c r="O175" s="152">
        <f>+IF(OR($Q175=Parametres!$G$2,$Q175=Parametres!$G$3),J175,D175)</f>
        <v>-157.04</v>
      </c>
      <c r="P175" s="152">
        <f>+IF(OR($Q175=Parametres!$G$2,$Q175=Parametres!$G$3),K175,E175)</f>
        <v>805.41</v>
      </c>
      <c r="Q175" s="151" t="str">
        <f t="shared" si="12"/>
        <v>3-Passifs</v>
      </c>
      <c r="R175" s="150" t="str">
        <f t="shared" si="12"/>
        <v>250</v>
      </c>
      <c r="S175" s="151">
        <f t="shared" si="12"/>
        <v>0</v>
      </c>
      <c r="T175" s="153">
        <f>+VLOOKUP($L175,Data_Validation!$A:$D,1,0)</f>
        <v>2502</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430" t="s">
        <v>2051</v>
      </c>
      <c r="B176" s="1431">
        <v>2503</v>
      </c>
      <c r="C176" s="1433">
        <v>-197466.94</v>
      </c>
      <c r="D176" s="1433">
        <v>-56160.01</v>
      </c>
      <c r="E176" s="1433">
        <v>-253626.95</v>
      </c>
      <c r="F176" s="1430" t="s">
        <v>279</v>
      </c>
      <c r="G176" s="1430" t="s">
        <v>2052</v>
      </c>
      <c r="H176" s="1231"/>
      <c r="I176" s="1231"/>
      <c r="J176" s="1231"/>
      <c r="K176" s="1231"/>
      <c r="L176" s="150">
        <f t="shared" si="0"/>
        <v>2503</v>
      </c>
      <c r="M176" s="151" t="str">
        <f t="shared" si="1"/>
        <v>SALAIRES DES EMPLOYES</v>
      </c>
      <c r="N176" s="152">
        <f>+IF(OR($Q176=Parametres!$G$2,$Q176=Parametres!$G$3),I176,C176)</f>
        <v>-197466.94</v>
      </c>
      <c r="O176" s="152">
        <f>+IF(OR($Q176=Parametres!$G$2,$Q176=Parametres!$G$3),J176,D176)</f>
        <v>-56160.01</v>
      </c>
      <c r="P176" s="152">
        <f>+IF(OR($Q176=Parametres!$G$2,$Q176=Parametres!$G$3),K176,E176)</f>
        <v>-253626.95</v>
      </c>
      <c r="Q176" s="151" t="str">
        <f t="shared" si="12"/>
        <v>3-Passifs</v>
      </c>
      <c r="R176" s="150" t="str">
        <f t="shared" si="12"/>
        <v>2503</v>
      </c>
      <c r="S176" s="151">
        <f t="shared" si="12"/>
        <v>0</v>
      </c>
      <c r="T176" s="153">
        <f>+VLOOKUP($L176,Data_Validation!$A:$D,1,0)</f>
        <v>2503</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1430" t="s">
        <v>2091</v>
      </c>
      <c r="B177" s="1431">
        <v>2505</v>
      </c>
      <c r="C177" s="1433">
        <v>-30181.360000000001</v>
      </c>
      <c r="D177" s="1433">
        <v>-12434.75</v>
      </c>
      <c r="E177" s="1433">
        <v>-42616.11</v>
      </c>
      <c r="F177" s="1430" t="s">
        <v>279</v>
      </c>
      <c r="G177" s="1430" t="s">
        <v>2052</v>
      </c>
      <c r="H177" s="1432"/>
      <c r="I177" s="1432"/>
      <c r="J177" s="1432"/>
      <c r="K177" s="1432"/>
      <c r="L177" s="150">
        <f t="shared" si="0"/>
        <v>2505</v>
      </c>
      <c r="M177" s="151" t="str">
        <f t="shared" si="1"/>
        <v>JOURS FERIES</v>
      </c>
      <c r="N177" s="152">
        <f>+IF(OR($Q177=Parametres!$G$2,$Q177=Parametres!$G$3),I177,C177)</f>
        <v>-30181.360000000001</v>
      </c>
      <c r="O177" s="152">
        <f>+IF(OR($Q177=Parametres!$G$2,$Q177=Parametres!$G$3),J177,D177)</f>
        <v>-12434.75</v>
      </c>
      <c r="P177" s="152">
        <f>+IF(OR($Q177=Parametres!$G$2,$Q177=Parametres!$G$3),K177,E177)</f>
        <v>-42616.11</v>
      </c>
      <c r="Q177" s="151" t="str">
        <f t="shared" si="12"/>
        <v>3-Passifs</v>
      </c>
      <c r="R177" s="150" t="str">
        <f t="shared" si="12"/>
        <v>2503</v>
      </c>
      <c r="S177" s="151">
        <f t="shared" si="12"/>
        <v>0</v>
      </c>
      <c r="T177" s="153">
        <f>+VLOOKUP($L177,Data_Validation!$A:$D,1,0)</f>
        <v>2505</v>
      </c>
      <c r="U177" s="153" t="str">
        <f>+VLOOKUP($L177,Data_Validation!$A:$D,3,0)</f>
        <v>Bilan</v>
      </c>
      <c r="V177" s="153" t="str">
        <f>+VLOOKUP($L177,Data_Validation!$A:$D,4,0)</f>
        <v>Salaires à Payer</v>
      </c>
      <c r="W177" s="153" t="str">
        <f>+VLOOKUP($L177,Data_Validation!$A:$E,5,0)</f>
        <v>$</v>
      </c>
      <c r="X177" s="153">
        <f>+VLOOKUP($L177,Data_Validation!$A:$F,6,0)</f>
        <v>0</v>
      </c>
    </row>
    <row r="178" spans="1:24" ht="15" customHeight="1">
      <c r="A178" s="1430" t="s">
        <v>2087</v>
      </c>
      <c r="B178" s="1431">
        <v>2509</v>
      </c>
      <c r="C178" s="1433">
        <v>-223705.89</v>
      </c>
      <c r="D178" s="1433">
        <v>-13810.52</v>
      </c>
      <c r="E178" s="1433">
        <v>-237516.41</v>
      </c>
      <c r="F178" s="1430" t="s">
        <v>279</v>
      </c>
      <c r="G178" s="1430" t="s">
        <v>2052</v>
      </c>
      <c r="H178" s="1432"/>
      <c r="I178" s="1432"/>
      <c r="J178" s="1432"/>
      <c r="K178" s="1432"/>
      <c r="L178" s="150">
        <f t="shared" si="0"/>
        <v>2509</v>
      </c>
      <c r="M178" s="151" t="str">
        <f t="shared" si="1"/>
        <v>SALAIRES DE VACANCES</v>
      </c>
      <c r="N178" s="152">
        <f>+IF(OR($Q178=Parametres!$G$2,$Q178=Parametres!$G$3),I178,C178)</f>
        <v>-223705.89</v>
      </c>
      <c r="O178" s="152">
        <f>+IF(OR($Q178=Parametres!$G$2,$Q178=Parametres!$G$3),J178,D178)</f>
        <v>-13810.52</v>
      </c>
      <c r="P178" s="152">
        <f>+IF(OR($Q178=Parametres!$G$2,$Q178=Parametres!$G$3),K178,E178)</f>
        <v>-237516.41</v>
      </c>
      <c r="Q178" s="151" t="str">
        <f t="shared" ref="Q178:S193" si="13">+F178</f>
        <v>3-Passifs</v>
      </c>
      <c r="R178" s="150" t="str">
        <f t="shared" si="13"/>
        <v>2503</v>
      </c>
      <c r="S178" s="151">
        <f t="shared" si="13"/>
        <v>0</v>
      </c>
      <c r="T178" s="153">
        <f>+VLOOKUP($L178,Data_Validation!$A:$D,1,0)</f>
        <v>2509</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1430" t="s">
        <v>2181</v>
      </c>
      <c r="B179" s="1431">
        <v>2511</v>
      </c>
      <c r="C179" s="1433">
        <v>-2711.95</v>
      </c>
      <c r="D179" s="1433">
        <v>-4011.89</v>
      </c>
      <c r="E179" s="1433">
        <v>-6723.84</v>
      </c>
      <c r="F179" s="1430" t="s">
        <v>279</v>
      </c>
      <c r="G179" s="1430" t="s">
        <v>2052</v>
      </c>
      <c r="H179" s="1432"/>
      <c r="I179" s="1432"/>
      <c r="J179" s="1432"/>
      <c r="K179" s="1432"/>
      <c r="L179" s="150">
        <f t="shared" si="0"/>
        <v>2511</v>
      </c>
      <c r="M179" s="151" t="str">
        <f t="shared" si="1"/>
        <v>JOURNEE MALADIE</v>
      </c>
      <c r="N179" s="152">
        <f>+IF(OR($Q179=Parametres!$G$2,$Q179=Parametres!$G$3),I179,C179)</f>
        <v>-2711.95</v>
      </c>
      <c r="O179" s="152">
        <f>+IF(OR($Q179=Parametres!$G$2,$Q179=Parametres!$G$3),J179,D179)</f>
        <v>-4011.89</v>
      </c>
      <c r="P179" s="152">
        <f>+IF(OR($Q179=Parametres!$G$2,$Q179=Parametres!$G$3),K179,E179)</f>
        <v>-6723.84</v>
      </c>
      <c r="Q179" s="151" t="str">
        <f t="shared" si="13"/>
        <v>3-Passifs</v>
      </c>
      <c r="R179" s="150" t="str">
        <f t="shared" si="13"/>
        <v>2503</v>
      </c>
      <c r="S179" s="151">
        <f t="shared" si="13"/>
        <v>0</v>
      </c>
      <c r="T179" s="153">
        <f>+VLOOKUP($L179,Data_Validation!$A:$D,1,0)</f>
        <v>2511</v>
      </c>
      <c r="U179" s="153" t="str">
        <f>+VLOOKUP($L179,Data_Validation!$A:$D,3,0)</f>
        <v>Bilan</v>
      </c>
      <c r="V179" s="153" t="str">
        <f>+VLOOKUP($L179,Data_Validation!$A:$D,4,0)</f>
        <v>Salaires à Payer</v>
      </c>
      <c r="W179" s="153" t="str">
        <f>+VLOOKUP($L179,Data_Validation!$A:$E,5,0)</f>
        <v>$</v>
      </c>
      <c r="X179" s="153">
        <f>+VLOOKUP($L179,Data_Validation!$A:$F,6,0)</f>
        <v>0</v>
      </c>
    </row>
    <row r="180" spans="1:24" ht="15" customHeight="1">
      <c r="A180" s="1430" t="s">
        <v>2680</v>
      </c>
      <c r="B180" s="1431">
        <v>2801</v>
      </c>
      <c r="C180" s="1433">
        <v>-14983.75</v>
      </c>
      <c r="D180" s="1433">
        <v>1317.5</v>
      </c>
      <c r="E180" s="1433">
        <v>-13666.25</v>
      </c>
      <c r="F180" s="1430" t="s">
        <v>279</v>
      </c>
      <c r="G180" s="1430" t="s">
        <v>2681</v>
      </c>
      <c r="H180" s="1432"/>
      <c r="I180" s="1432"/>
      <c r="J180" s="1432"/>
      <c r="K180" s="1432"/>
      <c r="L180" s="150">
        <f t="shared" si="0"/>
        <v>2801</v>
      </c>
      <c r="M180" s="151" t="str">
        <f t="shared" si="1"/>
        <v>PRET CIBC</v>
      </c>
      <c r="N180" s="152">
        <f>+IF(OR($Q180=Parametres!$G$2,$Q180=Parametres!$G$3),I180,C180)</f>
        <v>-14983.75</v>
      </c>
      <c r="O180" s="152">
        <f>+IF(OR($Q180=Parametres!$G$2,$Q180=Parametres!$G$3),J180,D180)</f>
        <v>1317.5</v>
      </c>
      <c r="P180" s="152">
        <f>+IF(OR($Q180=Parametres!$G$2,$Q180=Parametres!$G$3),K180,E180)</f>
        <v>-13666.25</v>
      </c>
      <c r="Q180" s="151" t="str">
        <f t="shared" si="13"/>
        <v>3-Passifs</v>
      </c>
      <c r="R180" s="150" t="str">
        <f t="shared" si="13"/>
        <v>2801</v>
      </c>
      <c r="S180" s="151">
        <f t="shared" si="13"/>
        <v>0</v>
      </c>
      <c r="T180" s="153">
        <f>+VLOOKUP($L180,Data_Validation!$A:$D,1,0)</f>
        <v>2801</v>
      </c>
      <c r="U180" s="153" t="str">
        <f>+VLOOKUP($L180,Data_Validation!$A:$D,3,0)</f>
        <v>Bilan</v>
      </c>
      <c r="V180" s="153" t="str">
        <f>+VLOOKUP($L180,Data_Validation!$A:$D,4,0)</f>
        <v>Dette à Long Terme</v>
      </c>
      <c r="W180" s="153" t="str">
        <f>+VLOOKUP($L180,Data_Validation!$A:$E,5,0)</f>
        <v>$</v>
      </c>
      <c r="X180" s="153">
        <f>+VLOOKUP($L180,Data_Validation!$A:$F,6,0)</f>
        <v>0</v>
      </c>
    </row>
    <row r="181" spans="1:24" ht="15.75" customHeight="1">
      <c r="A181" s="1430" t="s">
        <v>824</v>
      </c>
      <c r="B181" s="1431">
        <v>2901</v>
      </c>
      <c r="C181" s="1433">
        <v>-19122.599999999999</v>
      </c>
      <c r="D181" s="1433">
        <v>0</v>
      </c>
      <c r="E181" s="1433">
        <v>-19122.599999999999</v>
      </c>
      <c r="F181" s="1430" t="s">
        <v>279</v>
      </c>
      <c r="G181" s="1430" t="s">
        <v>2183</v>
      </c>
      <c r="H181" s="1432"/>
      <c r="I181" s="1432"/>
      <c r="J181" s="1432"/>
      <c r="K181" s="1432"/>
      <c r="L181" s="150">
        <f t="shared" si="0"/>
        <v>2901</v>
      </c>
      <c r="M181" s="151" t="str">
        <f t="shared" si="1"/>
        <v>RESERVE CARTES PRIVILEGE</v>
      </c>
      <c r="N181" s="152">
        <f>+IF(OR($Q181=Parametres!$G$2,$Q181=Parametres!$G$3),I181,C181)</f>
        <v>-19122.599999999999</v>
      </c>
      <c r="O181" s="152">
        <f>+IF(OR($Q181=Parametres!$G$2,$Q181=Parametres!$G$3),J181,D181)</f>
        <v>0</v>
      </c>
      <c r="P181" s="152">
        <f>+IF(OR($Q181=Parametres!$G$2,$Q181=Parametres!$G$3),K181,E181)</f>
        <v>-19122.599999999999</v>
      </c>
      <c r="Q181" s="151" t="str">
        <f t="shared" si="13"/>
        <v>3-Passifs</v>
      </c>
      <c r="R181" s="150" t="str">
        <f t="shared" si="13"/>
        <v>2901</v>
      </c>
      <c r="S181" s="151">
        <f t="shared" si="13"/>
        <v>0</v>
      </c>
      <c r="T181" s="153">
        <f>+VLOOKUP($L181,Data_Validation!$A:$D,1,0)</f>
        <v>2901</v>
      </c>
      <c r="U181" s="153" t="str">
        <f>+VLOOKUP($L181,Data_Validation!$A:$D,3,0)</f>
        <v>Bilan</v>
      </c>
      <c r="V181" s="153" t="str">
        <f>+VLOOKUP($L181,Data_Validation!$A:$D,4,0)</f>
        <v>Autres Courus</v>
      </c>
      <c r="W181" s="153" t="str">
        <f>+VLOOKUP($L181,Data_Validation!$A:$E,5,0)</f>
        <v>$</v>
      </c>
      <c r="X181" s="153">
        <f>+VLOOKUP($L181,Data_Validation!$A:$F,6,0)</f>
        <v>0</v>
      </c>
    </row>
    <row r="182" spans="1:24" ht="15.75" customHeight="1">
      <c r="A182" s="1430" t="s">
        <v>2414</v>
      </c>
      <c r="B182" s="1431">
        <v>3001</v>
      </c>
      <c r="C182" s="1433">
        <v>-2350000</v>
      </c>
      <c r="D182" s="1433">
        <v>0</v>
      </c>
      <c r="E182" s="1433">
        <v>-2350000</v>
      </c>
      <c r="F182" s="1430" t="s">
        <v>828</v>
      </c>
      <c r="G182" s="1430" t="s">
        <v>2415</v>
      </c>
      <c r="H182" s="1432"/>
      <c r="I182" s="1432"/>
      <c r="J182" s="1432"/>
      <c r="K182" s="1432"/>
      <c r="L182" s="150">
        <f t="shared" si="0"/>
        <v>3001</v>
      </c>
      <c r="M182" s="151" t="str">
        <f t="shared" si="1"/>
        <v>ACTIONS CATEGORIE 1</v>
      </c>
      <c r="N182" s="152">
        <f>+IF(OR($Q182=Parametres!$G$2,$Q182=Parametres!$G$3),I182,C182)</f>
        <v>-2350000</v>
      </c>
      <c r="O182" s="152">
        <f>+IF(OR($Q182=Parametres!$G$2,$Q182=Parametres!$G$3),J182,D182)</f>
        <v>0</v>
      </c>
      <c r="P182" s="152">
        <f>+IF(OR($Q182=Parametres!$G$2,$Q182=Parametres!$G$3),K182,E182)</f>
        <v>-2350000</v>
      </c>
      <c r="Q182" s="151" t="str">
        <f t="shared" si="13"/>
        <v>4-Valeur nette</v>
      </c>
      <c r="R182" s="150" t="str">
        <f t="shared" si="13"/>
        <v>3001</v>
      </c>
      <c r="S182" s="151">
        <f t="shared" si="13"/>
        <v>0</v>
      </c>
      <c r="T182" s="153">
        <f>+VLOOKUP($L182,Data_Validation!$A:$D,1,0)</f>
        <v>3001</v>
      </c>
      <c r="U182" s="153" t="str">
        <f>+VLOOKUP($L182,Data_Validation!$A:$D,3,0)</f>
        <v>Bilan</v>
      </c>
      <c r="V182" s="153" t="str">
        <f>+VLOOKUP($L182,Data_Validation!$A:$D,4,0)</f>
        <v>Capital Actions</v>
      </c>
      <c r="W182" s="153" t="str">
        <f>+VLOOKUP($L182,Data_Validation!$A:$E,5,0)</f>
        <v>$</v>
      </c>
      <c r="X182" s="153">
        <f>+VLOOKUP($L182,Data_Validation!$A:$F,6,0)</f>
        <v>0</v>
      </c>
    </row>
    <row r="183" spans="1:24" ht="15.75" customHeight="1">
      <c r="A183" s="1430" t="s">
        <v>2416</v>
      </c>
      <c r="B183" s="1431">
        <v>3003</v>
      </c>
      <c r="C183" s="1433">
        <v>-1723617</v>
      </c>
      <c r="D183" s="1433">
        <v>0</v>
      </c>
      <c r="E183" s="1433">
        <v>-1723617</v>
      </c>
      <c r="F183" s="1430" t="s">
        <v>828</v>
      </c>
      <c r="G183" s="1430" t="s">
        <v>2415</v>
      </c>
      <c r="H183" s="1432"/>
      <c r="I183" s="1432"/>
      <c r="J183" s="1432"/>
      <c r="K183" s="1432"/>
      <c r="L183" s="150">
        <f t="shared" si="0"/>
        <v>3003</v>
      </c>
      <c r="M183" s="151" t="str">
        <f t="shared" si="1"/>
        <v>APPORT / RETRAIT</v>
      </c>
      <c r="N183" s="152">
        <f>+IF(OR($Q183=Parametres!$G$2,$Q183=Parametres!$G$3),I183,C183)</f>
        <v>-1723617</v>
      </c>
      <c r="O183" s="152">
        <f>+IF(OR($Q183=Parametres!$G$2,$Q183=Parametres!$G$3),J183,D183)</f>
        <v>0</v>
      </c>
      <c r="P183" s="152">
        <f>+IF(OR($Q183=Parametres!$G$2,$Q183=Parametres!$G$3),K183,E183)</f>
        <v>-1723617</v>
      </c>
      <c r="Q183" s="151" t="str">
        <f t="shared" si="13"/>
        <v>4-Valeur nette</v>
      </c>
      <c r="R183" s="150" t="str">
        <f t="shared" si="13"/>
        <v>3001</v>
      </c>
      <c r="S183" s="151">
        <f t="shared" si="13"/>
        <v>0</v>
      </c>
      <c r="T183" s="153">
        <f>+VLOOKUP($L183,Data_Validation!$A:$D,1,0)</f>
        <v>3003</v>
      </c>
      <c r="U183" s="153" t="str">
        <f>+VLOOKUP($L183,Data_Validation!$A:$D,3,0)</f>
        <v>Bilan</v>
      </c>
      <c r="V183" s="153" t="str">
        <f>+VLOOKUP($L183,Data_Validation!$A:$D,4,0)</f>
        <v>Apport</v>
      </c>
      <c r="W183" s="153" t="str">
        <f>+VLOOKUP($L183,Data_Validation!$A:$E,5,0)</f>
        <v>$</v>
      </c>
      <c r="X183" s="153">
        <f>+VLOOKUP($L183,Data_Validation!$A:$F,6,0)</f>
        <v>0</v>
      </c>
    </row>
    <row r="184" spans="1:24" ht="15.75" customHeight="1">
      <c r="A184" s="1430" t="s">
        <v>2418</v>
      </c>
      <c r="B184" s="1431">
        <v>3007</v>
      </c>
      <c r="C184" s="1433">
        <v>-347547.5</v>
      </c>
      <c r="D184" s="1433">
        <v>0</v>
      </c>
      <c r="E184" s="1433">
        <v>-347547.5</v>
      </c>
      <c r="F184" s="1430" t="s">
        <v>828</v>
      </c>
      <c r="G184" s="1430" t="s">
        <v>2415</v>
      </c>
      <c r="H184" s="1432"/>
      <c r="I184" s="1432"/>
      <c r="J184" s="1432"/>
      <c r="K184" s="1432"/>
      <c r="L184" s="150">
        <f t="shared" si="0"/>
        <v>3007</v>
      </c>
      <c r="M184" s="151" t="str">
        <f t="shared" si="1"/>
        <v>ACTIONS PARTICIPANTES</v>
      </c>
      <c r="N184" s="152">
        <f>+IF(OR($Q184=Parametres!$G$2,$Q184=Parametres!$G$3),I184,C184)</f>
        <v>-347547.5</v>
      </c>
      <c r="O184" s="152">
        <f>+IF(OR($Q184=Parametres!$G$2,$Q184=Parametres!$G$3),J184,D184)</f>
        <v>0</v>
      </c>
      <c r="P184" s="152">
        <f>+IF(OR($Q184=Parametres!$G$2,$Q184=Parametres!$G$3),K184,E184)</f>
        <v>-347547.5</v>
      </c>
      <c r="Q184" s="151" t="str">
        <f t="shared" si="13"/>
        <v>4-Valeur nette</v>
      </c>
      <c r="R184" s="150" t="str">
        <f t="shared" si="13"/>
        <v>3001</v>
      </c>
      <c r="S184" s="151">
        <f t="shared" si="13"/>
        <v>0</v>
      </c>
      <c r="T184" s="153">
        <f>+VLOOKUP($L184,Data_Validation!$A:$D,1,0)</f>
        <v>3007</v>
      </c>
      <c r="U184" s="153" t="str">
        <f>+VLOOKUP($L184,Data_Validation!$A:$D,3,0)</f>
        <v>Bilan</v>
      </c>
      <c r="V184" s="153" t="str">
        <f>+VLOOKUP($L184,Data_Validation!$A:$D,4,0)</f>
        <v>Capital Actions</v>
      </c>
      <c r="W184" s="153">
        <f>+VLOOKUP($L184,Data_Validation!$A:$E,5,0)</f>
        <v>0</v>
      </c>
      <c r="X184" s="153">
        <f>+VLOOKUP($L184,Data_Validation!$A:$F,6,0)</f>
        <v>0</v>
      </c>
    </row>
    <row r="185" spans="1:24" ht="15.75" customHeight="1">
      <c r="A185" s="1430" t="s">
        <v>2420</v>
      </c>
      <c r="B185" s="1431">
        <v>3201</v>
      </c>
      <c r="C185" s="1433">
        <v>-973229.33</v>
      </c>
      <c r="D185" s="1433">
        <v>0</v>
      </c>
      <c r="E185" s="1433">
        <v>-973229.33</v>
      </c>
      <c r="F185" s="1430" t="s">
        <v>828</v>
      </c>
      <c r="G185" s="1430" t="s">
        <v>2415</v>
      </c>
      <c r="H185" s="1432"/>
      <c r="I185" s="1432"/>
      <c r="J185" s="1432"/>
      <c r="K185" s="1432"/>
      <c r="L185" s="150">
        <f t="shared" si="0"/>
        <v>3201</v>
      </c>
      <c r="M185" s="151" t="str">
        <f t="shared" si="1"/>
        <v>BENEFICES NON-REPARTIS</v>
      </c>
      <c r="N185" s="152">
        <f>+IF(OR($Q185=Parametres!$G$2,$Q185=Parametres!$G$3),I185,C185)</f>
        <v>-973229.33</v>
      </c>
      <c r="O185" s="152">
        <f>+IF(OR($Q185=Parametres!$G$2,$Q185=Parametres!$G$3),J185,D185)</f>
        <v>0</v>
      </c>
      <c r="P185" s="152">
        <f>+IF(OR($Q185=Parametres!$G$2,$Q185=Parametres!$G$3),K185,E185)</f>
        <v>-973229.33</v>
      </c>
      <c r="Q185" s="151" t="str">
        <f t="shared" si="13"/>
        <v>4-Valeur nette</v>
      </c>
      <c r="R185" s="150" t="str">
        <f t="shared" si="13"/>
        <v>3001</v>
      </c>
      <c r="S185" s="151">
        <f t="shared" si="13"/>
        <v>0</v>
      </c>
      <c r="T185" s="153">
        <f>+VLOOKUP($L185,Data_Validation!$A:$D,1,0)</f>
        <v>3201</v>
      </c>
      <c r="U185" s="153" t="str">
        <f>+VLOOKUP($L185,Data_Validation!$A:$D,3,0)</f>
        <v>Bilan</v>
      </c>
      <c r="V185" s="153" t="str">
        <f>+VLOOKUP($L185,Data_Validation!$A:$D,4,0)</f>
        <v>Bénéfices non répartis</v>
      </c>
      <c r="W185" s="153" t="str">
        <f>+VLOOKUP($L185,Data_Validation!$A:$E,5,0)</f>
        <v>$</v>
      </c>
      <c r="X185" s="153">
        <f>+VLOOKUP($L185,Data_Validation!$A:$F,6,0)</f>
        <v>0</v>
      </c>
    </row>
    <row r="186" spans="1:24" ht="15.75" customHeight="1">
      <c r="A186" s="1430" t="s">
        <v>2018</v>
      </c>
      <c r="B186" s="1431">
        <v>4100</v>
      </c>
      <c r="C186" s="1433">
        <v>-2173155.91</v>
      </c>
      <c r="D186" s="1433">
        <v>-296307.46999999997</v>
      </c>
      <c r="E186" s="1433">
        <v>-2469463.38</v>
      </c>
      <c r="F186" s="1430" t="s">
        <v>282</v>
      </c>
      <c r="G186" s="1430" t="s">
        <v>2019</v>
      </c>
      <c r="H186" s="1432"/>
      <c r="I186" s="1432"/>
      <c r="J186" s="1432"/>
      <c r="K186" s="1432"/>
      <c r="L186" s="150">
        <f t="shared" si="0"/>
        <v>4100</v>
      </c>
      <c r="M186" s="151" t="str">
        <f t="shared" si="1"/>
        <v>VTE - RACHAT BAIL VW</v>
      </c>
      <c r="N186" s="152">
        <f>+IF(OR($Q186=Parametres!$G$2,$Q186=Parametres!$G$3),I186,C186)</f>
        <v>-2173155.91</v>
      </c>
      <c r="O186" s="152">
        <f>+IF(OR($Q186=Parametres!$G$2,$Q186=Parametres!$G$3),J186,D186)</f>
        <v>-296307.46999999997</v>
      </c>
      <c r="P186" s="152">
        <f>+IF(OR($Q186=Parametres!$G$2,$Q186=Parametres!$G$3),K186,E186)</f>
        <v>-2469463.38</v>
      </c>
      <c r="Q186" s="151" t="str">
        <f t="shared" si="13"/>
        <v>5-Ventes</v>
      </c>
      <c r="R186" s="150" t="str">
        <f t="shared" si="13"/>
        <v>4100</v>
      </c>
      <c r="S186" s="151">
        <f t="shared" si="13"/>
        <v>0</v>
      </c>
      <c r="T186" s="153">
        <f>+VLOOKUP($L186,Data_Validation!$A:$D,1,0)</f>
        <v>4100</v>
      </c>
      <c r="U186" s="153" t="str">
        <f>+VLOOKUP($L186,Data_Validation!$A:$D,3,0)</f>
        <v>Véhicules neufs</v>
      </c>
      <c r="V186" s="153" t="str">
        <f>+VLOOKUP($L186,Data_Validation!$A:$D,4,0)</f>
        <v>Rachat bail</v>
      </c>
      <c r="W186" s="153" t="str">
        <f>+VLOOKUP($L186,Data_Validation!$A:$E,5,0)</f>
        <v>$</v>
      </c>
      <c r="X186" s="153" t="str">
        <f>+VLOOKUP($L186,Data_Validation!$A:$F,6,0)</f>
        <v>Oui</v>
      </c>
    </row>
    <row r="187" spans="1:24" ht="15" customHeight="1">
      <c r="A187" s="1430" t="s">
        <v>2473</v>
      </c>
      <c r="B187" s="1430" t="s">
        <v>2474</v>
      </c>
      <c r="C187" s="1432"/>
      <c r="D187" s="1432"/>
      <c r="E187" s="1432"/>
      <c r="F187" s="1430" t="s">
        <v>4</v>
      </c>
      <c r="G187" s="1430" t="s">
        <v>2019</v>
      </c>
      <c r="H187" s="1432"/>
      <c r="I187" s="1433">
        <v>-114</v>
      </c>
      <c r="J187" s="1433">
        <v>-15</v>
      </c>
      <c r="K187" s="1433">
        <v>-129</v>
      </c>
      <c r="L187" s="150" t="str">
        <f t="shared" si="0"/>
        <v>4100@</v>
      </c>
      <c r="M187" s="151" t="str">
        <f t="shared" si="1"/>
        <v>RESERVE</v>
      </c>
      <c r="N187" s="152">
        <f>+IF(OR($Q187=Parametres!$G$2,$Q187=Parametres!$G$3),I187,C187)</f>
        <v>-114</v>
      </c>
      <c r="O187" s="152">
        <f>+IF(OR($Q187=Parametres!$G$2,$Q187=Parametres!$G$3),J187,D187)</f>
        <v>-15</v>
      </c>
      <c r="P187" s="152">
        <f>+IF(OR($Q187=Parametres!$G$2,$Q187=Parametres!$G$3),K187,E187)</f>
        <v>-129</v>
      </c>
      <c r="Q187" s="151" t="str">
        <f t="shared" si="13"/>
        <v>10-Compte compteur</v>
      </c>
      <c r="R187" s="150" t="str">
        <f t="shared" si="13"/>
        <v>4100</v>
      </c>
      <c r="S187" s="151">
        <f t="shared" si="13"/>
        <v>0</v>
      </c>
      <c r="T187" s="153" t="str">
        <f>+VLOOKUP($L187,Data_Validation!$A:$D,1,0)</f>
        <v>4100@</v>
      </c>
      <c r="U187" s="153" t="str">
        <f>+VLOOKUP($L187,Data_Validation!$A:$D,3,0)</f>
        <v>Véhicules neufs</v>
      </c>
      <c r="V187" s="153" t="str">
        <f>+VLOOKUP($L187,Data_Validation!$A:$D,4,0)</f>
        <v>Rachat bail</v>
      </c>
      <c r="W187" s="153" t="str">
        <f>+VLOOKUP($L187,Data_Validation!$A:$E,5,0)</f>
        <v>NB</v>
      </c>
      <c r="X187" s="153">
        <f>+VLOOKUP($L187,Data_Validation!$A:$F,6,0)</f>
        <v>0</v>
      </c>
    </row>
    <row r="188" spans="1:24" ht="15" customHeight="1">
      <c r="A188" s="1430" t="s">
        <v>2424</v>
      </c>
      <c r="B188" s="1431">
        <v>4105</v>
      </c>
      <c r="C188" s="1433">
        <v>-107154.26</v>
      </c>
      <c r="D188" s="1433">
        <v>0</v>
      </c>
      <c r="E188" s="1433">
        <v>-107154.26</v>
      </c>
      <c r="F188" s="1430" t="s">
        <v>282</v>
      </c>
      <c r="G188" s="1430" t="s">
        <v>2425</v>
      </c>
      <c r="H188" s="1432"/>
      <c r="I188" s="1432"/>
      <c r="J188" s="1432"/>
      <c r="K188" s="1432"/>
      <c r="L188" s="150">
        <f t="shared" si="0"/>
        <v>4105</v>
      </c>
      <c r="M188" s="151" t="str">
        <f t="shared" si="1"/>
        <v>VTES -VTE - ARTEON</v>
      </c>
      <c r="N188" s="152">
        <f>+IF(OR($Q188=Parametres!$G$2,$Q188=Parametres!$G$3),I188,C188)</f>
        <v>-107154.26</v>
      </c>
      <c r="O188" s="152">
        <f>+IF(OR($Q188=Parametres!$G$2,$Q188=Parametres!$G$3),J188,D188)</f>
        <v>0</v>
      </c>
      <c r="P188" s="152">
        <f>+IF(OR($Q188=Parametres!$G$2,$Q188=Parametres!$G$3),K188,E188)</f>
        <v>-107154.26</v>
      </c>
      <c r="Q188" s="151" t="str">
        <f t="shared" si="13"/>
        <v>5-Ventes</v>
      </c>
      <c r="R188" s="150" t="str">
        <f t="shared" si="13"/>
        <v>4105</v>
      </c>
      <c r="S188" s="151">
        <f t="shared" si="13"/>
        <v>0</v>
      </c>
      <c r="T188" s="153">
        <f>+VLOOKUP($L188,Data_Validation!$A:$D,1,0)</f>
        <v>4105</v>
      </c>
      <c r="U188" s="153" t="str">
        <f>+VLOOKUP($L188,Data_Validation!$A:$D,3,0)</f>
        <v>Véhicules neufs</v>
      </c>
      <c r="V188" s="153" t="str">
        <f>+VLOOKUP($L188,Data_Validation!$A:$D,4,0)</f>
        <v>Autos détail</v>
      </c>
      <c r="W188" s="153" t="str">
        <f>+VLOOKUP($L188,Data_Validation!$A:$E,5,0)</f>
        <v>$</v>
      </c>
      <c r="X188" s="153" t="str">
        <f>+VLOOKUP($L188,Data_Validation!$A:$F,6,0)</f>
        <v>Oui</v>
      </c>
    </row>
    <row r="189" spans="1:24" ht="15" customHeight="1">
      <c r="A189" s="1430" t="s">
        <v>2477</v>
      </c>
      <c r="B189" s="1430" t="s">
        <v>2478</v>
      </c>
      <c r="C189" s="1432"/>
      <c r="D189" s="1432"/>
      <c r="E189" s="1432"/>
      <c r="F189" s="1430" t="s">
        <v>4</v>
      </c>
      <c r="G189" s="1430" t="s">
        <v>2425</v>
      </c>
      <c r="H189" s="1432"/>
      <c r="I189" s="1433">
        <v>-2</v>
      </c>
      <c r="J189" s="1433">
        <v>0</v>
      </c>
      <c r="K189" s="1433">
        <v>-2</v>
      </c>
      <c r="L189" s="150" t="str">
        <f t="shared" si="0"/>
        <v>4105@</v>
      </c>
      <c r="M189" s="151" t="str">
        <f t="shared" si="1"/>
        <v>ROUTAN</v>
      </c>
      <c r="N189" s="152">
        <f>+IF(OR($Q189=Parametres!$G$2,$Q189=Parametres!$G$3),I189,C189)</f>
        <v>-2</v>
      </c>
      <c r="O189" s="152">
        <f>+IF(OR($Q189=Parametres!$G$2,$Q189=Parametres!$G$3),J189,D189)</f>
        <v>0</v>
      </c>
      <c r="P189" s="152">
        <f>+IF(OR($Q189=Parametres!$G$2,$Q189=Parametres!$G$3),K189,E189)</f>
        <v>-2</v>
      </c>
      <c r="Q189" s="151" t="str">
        <f t="shared" si="13"/>
        <v>10-Compte compteur</v>
      </c>
      <c r="R189" s="150" t="str">
        <f t="shared" si="13"/>
        <v>4105</v>
      </c>
      <c r="S189" s="151">
        <f t="shared" si="13"/>
        <v>0</v>
      </c>
      <c r="T189" s="153" t="str">
        <f>+VLOOKUP($L189,Data_Validation!$A:$D,1,0)</f>
        <v>4105@</v>
      </c>
      <c r="U189" s="153" t="str">
        <f>+VLOOKUP($L189,Data_Validation!$A:$D,3,0)</f>
        <v>Véhicules neufs</v>
      </c>
      <c r="V189" s="153" t="str">
        <f>+VLOOKUP($L189,Data_Validation!$A:$D,4,0)</f>
        <v>Autos détail</v>
      </c>
      <c r="W189" s="153" t="str">
        <f>+VLOOKUP($L189,Data_Validation!$A:$E,5,0)</f>
        <v>NB</v>
      </c>
      <c r="X189" s="153">
        <f>+VLOOKUP($L189,Data_Validation!$A:$F,6,0)</f>
        <v>0</v>
      </c>
    </row>
    <row r="190" spans="1:24" ht="15" customHeight="1">
      <c r="A190" s="1430" t="s">
        <v>2011</v>
      </c>
      <c r="B190" s="1431">
        <v>4107</v>
      </c>
      <c r="C190" s="1433">
        <v>-2785993.13</v>
      </c>
      <c r="D190" s="1433">
        <v>-26446.95</v>
      </c>
      <c r="E190" s="1433">
        <v>-2812440.08</v>
      </c>
      <c r="F190" s="1430" t="s">
        <v>282</v>
      </c>
      <c r="G190" s="1430" t="s">
        <v>2012</v>
      </c>
      <c r="H190" s="1432"/>
      <c r="I190" s="1432"/>
      <c r="J190" s="1432"/>
      <c r="K190" s="1432"/>
      <c r="L190" s="150">
        <f t="shared" si="0"/>
        <v>4107</v>
      </c>
      <c r="M190" s="151" t="str">
        <f t="shared" si="1"/>
        <v>VTE - GOLF A6</v>
      </c>
      <c r="N190" s="152">
        <f>+IF(OR($Q190=Parametres!$G$2,$Q190=Parametres!$G$3),I190,C190)</f>
        <v>-2785993.13</v>
      </c>
      <c r="O190" s="152">
        <f>+IF(OR($Q190=Parametres!$G$2,$Q190=Parametres!$G$3),J190,D190)</f>
        <v>-26446.95</v>
      </c>
      <c r="P190" s="152">
        <f>+IF(OR($Q190=Parametres!$G$2,$Q190=Parametres!$G$3),K190,E190)</f>
        <v>-2812440.08</v>
      </c>
      <c r="Q190" s="151" t="str">
        <f t="shared" si="13"/>
        <v>5-Ventes</v>
      </c>
      <c r="R190" s="150" t="str">
        <f t="shared" si="13"/>
        <v>4107</v>
      </c>
      <c r="S190" s="151">
        <f t="shared" si="13"/>
        <v>0</v>
      </c>
      <c r="T190" s="153">
        <f>+VLOOKUP($L190,Data_Validation!$A:$D,1,0)</f>
        <v>4107</v>
      </c>
      <c r="U190" s="153" t="str">
        <f>+VLOOKUP($L190,Data_Validation!$A:$D,3,0)</f>
        <v>Véhicules neufs</v>
      </c>
      <c r="V190" s="153" t="str">
        <f>+VLOOKUP($L190,Data_Validation!$A:$D,4,0)</f>
        <v>Autos détail</v>
      </c>
      <c r="W190" s="153" t="str">
        <f>+VLOOKUP($L190,Data_Validation!$A:$E,5,0)</f>
        <v>$</v>
      </c>
      <c r="X190" s="153" t="str">
        <f>+VLOOKUP($L190,Data_Validation!$A:$F,6,0)</f>
        <v>Oui</v>
      </c>
    </row>
    <row r="191" spans="1:24" ht="15" customHeight="1">
      <c r="A191" s="1430" t="s">
        <v>2479</v>
      </c>
      <c r="B191" s="1430" t="s">
        <v>2480</v>
      </c>
      <c r="C191" s="1432"/>
      <c r="D191" s="1432"/>
      <c r="E191" s="1432"/>
      <c r="F191" s="1430" t="s">
        <v>4</v>
      </c>
      <c r="G191" s="1430" t="s">
        <v>2012</v>
      </c>
      <c r="H191" s="1432"/>
      <c r="I191" s="1433">
        <v>-102</v>
      </c>
      <c r="J191" s="1433">
        <v>-1</v>
      </c>
      <c r="K191" s="1433">
        <v>-103</v>
      </c>
      <c r="L191" s="150" t="str">
        <f t="shared" si="0"/>
        <v>4107@</v>
      </c>
      <c r="M191" s="151" t="str">
        <f t="shared" si="1"/>
        <v>UNITES VENDUES GOLF</v>
      </c>
      <c r="N191" s="152">
        <f>+IF(OR($Q191=Parametres!$G$2,$Q191=Parametres!$G$3),I191,C191)</f>
        <v>-102</v>
      </c>
      <c r="O191" s="152">
        <f>+IF(OR($Q191=Parametres!$G$2,$Q191=Parametres!$G$3),J191,D191)</f>
        <v>-1</v>
      </c>
      <c r="P191" s="152">
        <f>+IF(OR($Q191=Parametres!$G$2,$Q191=Parametres!$G$3),K191,E191)</f>
        <v>-103</v>
      </c>
      <c r="Q191" s="151" t="str">
        <f t="shared" si="13"/>
        <v>10-Compte compteur</v>
      </c>
      <c r="R191" s="150" t="str">
        <f t="shared" si="13"/>
        <v>4107</v>
      </c>
      <c r="S191" s="151">
        <f t="shared" si="13"/>
        <v>0</v>
      </c>
      <c r="T191" s="153" t="str">
        <f>+VLOOKUP($L191,Data_Validation!$A:$D,1,0)</f>
        <v>4107@</v>
      </c>
      <c r="U191" s="153" t="str">
        <f>+VLOOKUP($L191,Data_Validation!$A:$D,3,0)</f>
        <v>Véhicules neufs</v>
      </c>
      <c r="V191" s="153" t="str">
        <f>+VLOOKUP($L191,Data_Validation!$A:$D,4,0)</f>
        <v>Autos détail</v>
      </c>
      <c r="W191" s="153" t="str">
        <f>+VLOOKUP($L191,Data_Validation!$A:$E,5,0)</f>
        <v>NB</v>
      </c>
      <c r="X191" s="153">
        <f>+VLOOKUP($L191,Data_Validation!$A:$F,6,0)</f>
        <v>0</v>
      </c>
    </row>
    <row r="192" spans="1:24" ht="15" customHeight="1">
      <c r="A192" s="1430" t="s">
        <v>2006</v>
      </c>
      <c r="B192" s="1431">
        <v>4111</v>
      </c>
      <c r="C192" s="1433">
        <v>-2646470.2799999998</v>
      </c>
      <c r="D192" s="1433">
        <v>-177032.75</v>
      </c>
      <c r="E192" s="1433">
        <v>-2823503.03</v>
      </c>
      <c r="F192" s="1430" t="s">
        <v>282</v>
      </c>
      <c r="G192" s="1430" t="s">
        <v>2007</v>
      </c>
      <c r="H192" s="1432"/>
      <c r="I192" s="1432"/>
      <c r="J192" s="1432"/>
      <c r="K192" s="1432"/>
      <c r="L192" s="150">
        <f t="shared" si="0"/>
        <v>4111</v>
      </c>
      <c r="M192" s="151" t="str">
        <f t="shared" si="1"/>
        <v>VTE - JETTA</v>
      </c>
      <c r="N192" s="152">
        <f>+IF(OR($Q192=Parametres!$G$2,$Q192=Parametres!$G$3),I192,C192)</f>
        <v>-2646470.2799999998</v>
      </c>
      <c r="O192" s="152">
        <f>+IF(OR($Q192=Parametres!$G$2,$Q192=Parametres!$G$3),J192,D192)</f>
        <v>-177032.75</v>
      </c>
      <c r="P192" s="152">
        <f>+IF(OR($Q192=Parametres!$G$2,$Q192=Parametres!$G$3),K192,E192)</f>
        <v>-2823503.03</v>
      </c>
      <c r="Q192" s="151" t="str">
        <f t="shared" si="13"/>
        <v>5-Ventes</v>
      </c>
      <c r="R192" s="150" t="str">
        <f t="shared" si="13"/>
        <v>4111</v>
      </c>
      <c r="S192" s="151">
        <f t="shared" si="13"/>
        <v>0</v>
      </c>
      <c r="T192" s="153">
        <f>+VLOOKUP($L192,Data_Validation!$A:$D,1,0)</f>
        <v>4111</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430" t="s">
        <v>2483</v>
      </c>
      <c r="B193" s="1430" t="s">
        <v>2484</v>
      </c>
      <c r="C193" s="1432"/>
      <c r="D193" s="1432"/>
      <c r="E193" s="1432"/>
      <c r="F193" s="1430" t="s">
        <v>4</v>
      </c>
      <c r="G193" s="1430" t="s">
        <v>2007</v>
      </c>
      <c r="H193" s="1432"/>
      <c r="I193" s="1433">
        <v>-93</v>
      </c>
      <c r="J193" s="1433">
        <v>-6</v>
      </c>
      <c r="K193" s="1433">
        <v>-99</v>
      </c>
      <c r="L193" s="150" t="str">
        <f t="shared" si="0"/>
        <v>4111@</v>
      </c>
      <c r="M193" s="151" t="str">
        <f t="shared" si="1"/>
        <v>UNITES VENDUES - JETTA</v>
      </c>
      <c r="N193" s="152">
        <f>+IF(OR($Q193=Parametres!$G$2,$Q193=Parametres!$G$3),I193,C193)</f>
        <v>-93</v>
      </c>
      <c r="O193" s="152">
        <f>+IF(OR($Q193=Parametres!$G$2,$Q193=Parametres!$G$3),J193,D193)</f>
        <v>-6</v>
      </c>
      <c r="P193" s="152">
        <f>+IF(OR($Q193=Parametres!$G$2,$Q193=Parametres!$G$3),K193,E193)</f>
        <v>-99</v>
      </c>
      <c r="Q193" s="151" t="str">
        <f t="shared" si="13"/>
        <v>10-Compte compteur</v>
      </c>
      <c r="R193" s="150" t="str">
        <f t="shared" si="13"/>
        <v>4111</v>
      </c>
      <c r="S193" s="151">
        <f t="shared" si="13"/>
        <v>0</v>
      </c>
      <c r="T193" s="153" t="str">
        <f>+VLOOKUP($L193,Data_Validation!$A:$D,1,0)</f>
        <v>4111@</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1430" t="s">
        <v>2893</v>
      </c>
      <c r="B194" s="1431">
        <v>4118</v>
      </c>
      <c r="C194" s="1433">
        <v>-567227.38</v>
      </c>
      <c r="D194" s="1433">
        <v>-440618.53</v>
      </c>
      <c r="E194" s="1433">
        <v>-1007845.91</v>
      </c>
      <c r="F194" s="1430" t="s">
        <v>282</v>
      </c>
      <c r="G194" s="1430" t="s">
        <v>2894</v>
      </c>
      <c r="H194" s="1432"/>
      <c r="I194" s="1432"/>
      <c r="J194" s="1432"/>
      <c r="K194" s="1432"/>
      <c r="L194" s="150">
        <f t="shared" si="0"/>
        <v>4118</v>
      </c>
      <c r="M194" s="151" t="str">
        <f t="shared" si="1"/>
        <v>VTES -TAOS</v>
      </c>
      <c r="N194" s="152">
        <f>+IF(OR($Q194=Parametres!$G$2,$Q194=Parametres!$G$3),I194,C194)</f>
        <v>-567227.38</v>
      </c>
      <c r="O194" s="152">
        <f>+IF(OR($Q194=Parametres!$G$2,$Q194=Parametres!$G$3),J194,D194)</f>
        <v>-440618.53</v>
      </c>
      <c r="P194" s="152">
        <f>+IF(OR($Q194=Parametres!$G$2,$Q194=Parametres!$G$3),K194,E194)</f>
        <v>-1007845.91</v>
      </c>
      <c r="Q194" s="151" t="str">
        <f t="shared" ref="Q194:S209" si="14">+F194</f>
        <v>5-Ventes</v>
      </c>
      <c r="R194" s="150" t="str">
        <f t="shared" si="14"/>
        <v>4117</v>
      </c>
      <c r="S194" s="151">
        <f t="shared" si="14"/>
        <v>0</v>
      </c>
      <c r="T194" s="153">
        <f>+VLOOKUP($L194,Data_Validation!$A:$D,1,0)</f>
        <v>4118</v>
      </c>
      <c r="U194" s="153" t="str">
        <f>+VLOOKUP($L194,Data_Validation!$A:$D,3,0)</f>
        <v>Véhicules neufs</v>
      </c>
      <c r="V194" s="153" t="str">
        <f>+VLOOKUP($L194,Data_Validation!$A:$D,4,0)</f>
        <v>Camions détail</v>
      </c>
      <c r="W194" s="153" t="str">
        <f>+VLOOKUP($L194,Data_Validation!$A:$E,5,0)</f>
        <v>$</v>
      </c>
      <c r="X194" s="153" t="str">
        <f>+VLOOKUP($L194,Data_Validation!$A:$F,6,0)</f>
        <v>Oui</v>
      </c>
    </row>
    <row r="195" spans="1:24" ht="15" customHeight="1">
      <c r="A195" s="1430" t="s">
        <v>2895</v>
      </c>
      <c r="B195" s="1430" t="s">
        <v>2896</v>
      </c>
      <c r="C195" s="1432"/>
      <c r="D195" s="1432"/>
      <c r="E195" s="1432"/>
      <c r="F195" s="1430" t="s">
        <v>4</v>
      </c>
      <c r="G195" s="1430" t="s">
        <v>339</v>
      </c>
      <c r="H195" s="1432"/>
      <c r="I195" s="1433">
        <v>-17</v>
      </c>
      <c r="J195" s="1433">
        <v>-12</v>
      </c>
      <c r="K195" s="1433">
        <v>-29</v>
      </c>
      <c r="L195" s="150" t="str">
        <f t="shared" si="0"/>
        <v>4118@</v>
      </c>
      <c r="M195" s="151" t="str">
        <f t="shared" si="1"/>
        <v>TAOS</v>
      </c>
      <c r="N195" s="152">
        <f>+IF(OR($Q195=Parametres!$G$2,$Q195=Parametres!$G$3),I195,C195)</f>
        <v>-17</v>
      </c>
      <c r="O195" s="152">
        <f>+IF(OR($Q195=Parametres!$G$2,$Q195=Parametres!$G$3),J195,D195)</f>
        <v>-12</v>
      </c>
      <c r="P195" s="152">
        <f>+IF(OR($Q195=Parametres!$G$2,$Q195=Parametres!$G$3),K195,E195)</f>
        <v>-29</v>
      </c>
      <c r="Q195" s="151" t="str">
        <f t="shared" si="14"/>
        <v>10-Compte compteur</v>
      </c>
      <c r="R195" s="150" t="str">
        <f t="shared" si="14"/>
        <v>411</v>
      </c>
      <c r="S195" s="151">
        <f t="shared" si="14"/>
        <v>0</v>
      </c>
      <c r="T195" s="153" t="str">
        <f>+VLOOKUP($L195,Data_Validation!$A:$D,1,0)</f>
        <v>4118@</v>
      </c>
      <c r="U195" s="153" t="str">
        <f>+VLOOKUP($L195,Data_Validation!$A:$D,3,0)</f>
        <v>Véhicules neufs</v>
      </c>
      <c r="V195" s="153" t="str">
        <f>+VLOOKUP($L195,Data_Validation!$A:$D,4,0)</f>
        <v>Camions détail</v>
      </c>
      <c r="W195" s="153" t="str">
        <f>+VLOOKUP($L195,Data_Validation!$A:$E,5,0)</f>
        <v>NB</v>
      </c>
      <c r="X195" s="153">
        <f>+VLOOKUP($L195,Data_Validation!$A:$F,6,0)</f>
        <v>0</v>
      </c>
    </row>
    <row r="196" spans="1:24" ht="15" customHeight="1">
      <c r="A196" s="1430" t="s">
        <v>1995</v>
      </c>
      <c r="B196" s="1431">
        <v>4119</v>
      </c>
      <c r="C196" s="1433">
        <v>-5114257.67</v>
      </c>
      <c r="D196" s="1433">
        <v>-722228.62</v>
      </c>
      <c r="E196" s="1433">
        <v>-5836486.29</v>
      </c>
      <c r="F196" s="1430" t="s">
        <v>282</v>
      </c>
      <c r="G196" s="1430" t="s">
        <v>1996</v>
      </c>
      <c r="H196" s="1432"/>
      <c r="I196" s="1432"/>
      <c r="J196" s="1432"/>
      <c r="K196" s="1432"/>
      <c r="L196" s="150">
        <f t="shared" si="0"/>
        <v>4119</v>
      </c>
      <c r="M196" s="151" t="str">
        <f t="shared" si="1"/>
        <v>VTE - ATLAS</v>
      </c>
      <c r="N196" s="152">
        <f>+IF(OR($Q196=Parametres!$G$2,$Q196=Parametres!$G$3),I196,C196)</f>
        <v>-5114257.67</v>
      </c>
      <c r="O196" s="152">
        <f>+IF(OR($Q196=Parametres!$G$2,$Q196=Parametres!$G$3),J196,D196)</f>
        <v>-722228.62</v>
      </c>
      <c r="P196" s="152">
        <f>+IF(OR($Q196=Parametres!$G$2,$Q196=Parametres!$G$3),K196,E196)</f>
        <v>-5836486.29</v>
      </c>
      <c r="Q196" s="151" t="str">
        <f t="shared" si="14"/>
        <v>5-Ventes</v>
      </c>
      <c r="R196" s="150" t="str">
        <f t="shared" si="14"/>
        <v>4119</v>
      </c>
      <c r="S196" s="151">
        <f t="shared" si="14"/>
        <v>0</v>
      </c>
      <c r="T196" s="153">
        <f>+VLOOKUP($L196,Data_Validation!$A:$D,1,0)</f>
        <v>4119</v>
      </c>
      <c r="U196" s="153" t="str">
        <f>+VLOOKUP($L196,Data_Validation!$A:$D,3,0)</f>
        <v>Véhicules neufs</v>
      </c>
      <c r="V196" s="153" t="str">
        <f>+VLOOKUP($L196,Data_Validation!$A:$D,4,0)</f>
        <v>Camions détail</v>
      </c>
      <c r="W196" s="153" t="str">
        <f>+VLOOKUP($L196,Data_Validation!$A:$E,5,0)</f>
        <v>$</v>
      </c>
      <c r="X196" s="153" t="str">
        <f>+VLOOKUP($L196,Data_Validation!$A:$F,6,0)</f>
        <v>Oui</v>
      </c>
    </row>
    <row r="197" spans="1:24" ht="15" customHeight="1">
      <c r="A197" s="1430" t="s">
        <v>2489</v>
      </c>
      <c r="B197" s="1430" t="s">
        <v>2490</v>
      </c>
      <c r="C197" s="1432"/>
      <c r="D197" s="1432"/>
      <c r="E197" s="1432"/>
      <c r="F197" s="1430" t="s">
        <v>4</v>
      </c>
      <c r="G197" s="1430" t="s">
        <v>1996</v>
      </c>
      <c r="H197" s="1432"/>
      <c r="I197" s="1433">
        <v>-97</v>
      </c>
      <c r="J197" s="1433">
        <v>-14</v>
      </c>
      <c r="K197" s="1433">
        <v>-111</v>
      </c>
      <c r="L197" s="150" t="str">
        <f t="shared" si="0"/>
        <v>4119@</v>
      </c>
      <c r="M197" s="151" t="str">
        <f t="shared" si="1"/>
        <v># DE VTE - ATLAS</v>
      </c>
      <c r="N197" s="152">
        <f>+IF(OR($Q197=Parametres!$G$2,$Q197=Parametres!$G$3),I197,C197)</f>
        <v>-97</v>
      </c>
      <c r="O197" s="152">
        <f>+IF(OR($Q197=Parametres!$G$2,$Q197=Parametres!$G$3),J197,D197)</f>
        <v>-14</v>
      </c>
      <c r="P197" s="152">
        <f>+IF(OR($Q197=Parametres!$G$2,$Q197=Parametres!$G$3),K197,E197)</f>
        <v>-111</v>
      </c>
      <c r="Q197" s="151" t="str">
        <f t="shared" si="14"/>
        <v>10-Compte compteur</v>
      </c>
      <c r="R197" s="150" t="str">
        <f t="shared" si="14"/>
        <v>4119</v>
      </c>
      <c r="S197" s="151">
        <f t="shared" si="14"/>
        <v>0</v>
      </c>
      <c r="T197" s="153" t="str">
        <f>+VLOOKUP($L197,Data_Validation!$A:$D,1,0)</f>
        <v>4119@</v>
      </c>
      <c r="U197" s="153" t="str">
        <f>+VLOOKUP($L197,Data_Validation!$A:$D,3,0)</f>
        <v>Véhicules neufs</v>
      </c>
      <c r="V197" s="153" t="str">
        <f>+VLOOKUP($L197,Data_Validation!$A:$D,4,0)</f>
        <v>Camions détail</v>
      </c>
      <c r="W197" s="153" t="str">
        <f>+VLOOKUP($L197,Data_Validation!$A:$E,5,0)</f>
        <v>NB</v>
      </c>
      <c r="X197" s="153">
        <f>+VLOOKUP($L197,Data_Validation!$A:$F,6,0)</f>
        <v>0</v>
      </c>
    </row>
    <row r="198" spans="1:24" ht="15" customHeight="1">
      <c r="A198" s="1430" t="s">
        <v>2882</v>
      </c>
      <c r="B198" s="1431">
        <v>4121</v>
      </c>
      <c r="C198" s="1433">
        <v>-455684.84</v>
      </c>
      <c r="D198" s="1433">
        <v>-46623.46</v>
      </c>
      <c r="E198" s="1433">
        <v>-502308.3</v>
      </c>
      <c r="F198" s="1430" t="s">
        <v>282</v>
      </c>
      <c r="G198" s="1430" t="s">
        <v>3252</v>
      </c>
      <c r="H198" s="1432"/>
      <c r="I198" s="1432"/>
      <c r="J198" s="1432"/>
      <c r="K198" s="1432"/>
      <c r="L198" s="150">
        <f t="shared" si="0"/>
        <v>4121</v>
      </c>
      <c r="M198" s="151" t="str">
        <f t="shared" si="1"/>
        <v>VTES -VTE - ATLAS CROSS SPORT</v>
      </c>
      <c r="N198" s="152">
        <f>+IF(OR($Q198=Parametres!$G$2,$Q198=Parametres!$G$3),I198,C198)</f>
        <v>-455684.84</v>
      </c>
      <c r="O198" s="152">
        <f>+IF(OR($Q198=Parametres!$G$2,$Q198=Parametres!$G$3),J198,D198)</f>
        <v>-46623.46</v>
      </c>
      <c r="P198" s="152">
        <f>+IF(OR($Q198=Parametres!$G$2,$Q198=Parametres!$G$3),K198,E198)</f>
        <v>-502308.3</v>
      </c>
      <c r="Q198" s="151" t="str">
        <f t="shared" si="14"/>
        <v>5-Ventes</v>
      </c>
      <c r="R198" s="150" t="str">
        <f t="shared" si="14"/>
        <v>4121</v>
      </c>
      <c r="S198" s="151">
        <f t="shared" si="14"/>
        <v>0</v>
      </c>
      <c r="T198" s="153">
        <f>+VLOOKUP($L198,Data_Validation!$A:$D,1,0)</f>
        <v>4121</v>
      </c>
      <c r="U198" s="153" t="str">
        <f>+VLOOKUP($L198,Data_Validation!$A:$D,3,0)</f>
        <v>Véhicules neufs</v>
      </c>
      <c r="V198" s="153" t="str">
        <f>+VLOOKUP($L198,Data_Validation!$A:$D,4,0)</f>
        <v>Camions détail</v>
      </c>
      <c r="W198" s="153" t="str">
        <f>+VLOOKUP($L198,Data_Validation!$A:$E,5,0)</f>
        <v>$</v>
      </c>
      <c r="X198" s="153" t="str">
        <f>+VLOOKUP($L198,Data_Validation!$A:$F,6,0)</f>
        <v>oui</v>
      </c>
    </row>
    <row r="199" spans="1:24" ht="15.75" customHeight="1">
      <c r="A199" s="1430" t="s">
        <v>2883</v>
      </c>
      <c r="B199" s="1430" t="s">
        <v>2884</v>
      </c>
      <c r="C199" s="1432"/>
      <c r="D199" s="1432"/>
      <c r="E199" s="1432"/>
      <c r="F199" s="1430" t="s">
        <v>4</v>
      </c>
      <c r="G199" s="1430" t="s">
        <v>3252</v>
      </c>
      <c r="H199" s="1432"/>
      <c r="I199" s="1433">
        <v>-10</v>
      </c>
      <c r="J199" s="1433">
        <v>-1</v>
      </c>
      <c r="K199" s="1433">
        <v>-11</v>
      </c>
      <c r="L199" s="150" t="str">
        <f t="shared" si="0"/>
        <v>4121@</v>
      </c>
      <c r="M199" s="151" t="str">
        <f t="shared" si="1"/>
        <v># DE VTE - ATLAS CROSS SPORT</v>
      </c>
      <c r="N199" s="152">
        <f>+IF(OR($Q199=Parametres!$G$2,$Q199=Parametres!$G$3),I199,C199)</f>
        <v>-10</v>
      </c>
      <c r="O199" s="152">
        <f>+IF(OR($Q199=Parametres!$G$2,$Q199=Parametres!$G$3),J199,D199)</f>
        <v>-1</v>
      </c>
      <c r="P199" s="152">
        <f>+IF(OR($Q199=Parametres!$G$2,$Q199=Parametres!$G$3),K199,E199)</f>
        <v>-11</v>
      </c>
      <c r="Q199" s="151" t="str">
        <f t="shared" si="14"/>
        <v>10-Compte compteur</v>
      </c>
      <c r="R199" s="150" t="str">
        <f t="shared" si="14"/>
        <v>4121</v>
      </c>
      <c r="S199" s="151">
        <f t="shared" si="14"/>
        <v>0</v>
      </c>
      <c r="T199" s="153" t="str">
        <f>+VLOOKUP($L199,Data_Validation!$A:$D,1,0)</f>
        <v>4121@</v>
      </c>
      <c r="U199" s="153" t="str">
        <f>+VLOOKUP($L199,Data_Validation!$A:$D,3,0)</f>
        <v>Véhicules neufs</v>
      </c>
      <c r="V199" s="153" t="str">
        <f>+VLOOKUP($L199,Data_Validation!$A:$D,4,0)</f>
        <v>Camions détail</v>
      </c>
      <c r="W199" s="153" t="str">
        <f>+VLOOKUP($L199,Data_Validation!$A:$E,5,0)</f>
        <v>NB</v>
      </c>
      <c r="X199" s="153">
        <f>+VLOOKUP($L199,Data_Validation!$A:$F,6,0)</f>
        <v>0</v>
      </c>
    </row>
    <row r="200" spans="1:24" ht="15" customHeight="1">
      <c r="A200" s="1430" t="s">
        <v>2023</v>
      </c>
      <c r="B200" s="1431">
        <v>4127</v>
      </c>
      <c r="C200" s="1433">
        <v>-850171.33</v>
      </c>
      <c r="D200" s="1433">
        <v>-87384</v>
      </c>
      <c r="E200" s="1433">
        <v>-937555.33</v>
      </c>
      <c r="F200" s="1430" t="s">
        <v>282</v>
      </c>
      <c r="G200" s="1430" t="s">
        <v>2024</v>
      </c>
      <c r="H200" s="1432"/>
      <c r="I200" s="1432"/>
      <c r="J200" s="1432"/>
      <c r="K200" s="1432"/>
      <c r="L200" s="150">
        <f t="shared" si="0"/>
        <v>4127</v>
      </c>
      <c r="M200" s="151" t="str">
        <f t="shared" si="1"/>
        <v>VTE - GOLF GTI</v>
      </c>
      <c r="N200" s="152">
        <f>+IF(OR($Q200=Parametres!$G$2,$Q200=Parametres!$G$3),I200,C200)</f>
        <v>-850171.33</v>
      </c>
      <c r="O200" s="152">
        <f>+IF(OR($Q200=Parametres!$G$2,$Q200=Parametres!$G$3),J200,D200)</f>
        <v>-87384</v>
      </c>
      <c r="P200" s="152">
        <f>+IF(OR($Q200=Parametres!$G$2,$Q200=Parametres!$G$3),K200,E200)</f>
        <v>-937555.33</v>
      </c>
      <c r="Q200" s="151" t="str">
        <f t="shared" si="14"/>
        <v>5-Ventes</v>
      </c>
      <c r="R200" s="150" t="str">
        <f t="shared" si="14"/>
        <v>4127</v>
      </c>
      <c r="S200" s="151">
        <f t="shared" si="14"/>
        <v>0</v>
      </c>
      <c r="T200" s="153">
        <f>+VLOOKUP($L200,Data_Validation!$A:$D,1,0)</f>
        <v>4127</v>
      </c>
      <c r="U200" s="153" t="str">
        <f>+VLOOKUP($L200,Data_Validation!$A:$D,3,0)</f>
        <v>Véhicules neufs</v>
      </c>
      <c r="V200" s="153" t="str">
        <f>+VLOOKUP($L200,Data_Validation!$A:$D,4,0)</f>
        <v>Autos détail</v>
      </c>
      <c r="W200" s="153" t="str">
        <f>+VLOOKUP($L200,Data_Validation!$A:$E,5,0)</f>
        <v>$</v>
      </c>
      <c r="X200" s="153" t="str">
        <f>+VLOOKUP($L200,Data_Validation!$A:$F,6,0)</f>
        <v>Oui</v>
      </c>
    </row>
    <row r="201" spans="1:24" ht="15" customHeight="1">
      <c r="A201" s="1430" t="s">
        <v>2491</v>
      </c>
      <c r="B201" s="1430" t="s">
        <v>2492</v>
      </c>
      <c r="C201" s="1432"/>
      <c r="D201" s="1432"/>
      <c r="E201" s="1432"/>
      <c r="F201" s="1430" t="s">
        <v>4</v>
      </c>
      <c r="G201" s="1430" t="s">
        <v>2024</v>
      </c>
      <c r="H201" s="1432"/>
      <c r="I201" s="1433">
        <v>-22</v>
      </c>
      <c r="J201" s="1433">
        <v>-2</v>
      </c>
      <c r="K201" s="1433">
        <v>-24</v>
      </c>
      <c r="L201" s="150" t="str">
        <f t="shared" si="0"/>
        <v>4127@</v>
      </c>
      <c r="M201" s="151" t="str">
        <f t="shared" si="1"/>
        <v># DE VENTE - GOLF GTI</v>
      </c>
      <c r="N201" s="152">
        <f>+IF(OR($Q201=Parametres!$G$2,$Q201=Parametres!$G$3),I201,C201)</f>
        <v>-22</v>
      </c>
      <c r="O201" s="152">
        <f>+IF(OR($Q201=Parametres!$G$2,$Q201=Parametres!$G$3),J201,D201)</f>
        <v>-2</v>
      </c>
      <c r="P201" s="152">
        <f>+IF(OR($Q201=Parametres!$G$2,$Q201=Parametres!$G$3),K201,E201)</f>
        <v>-24</v>
      </c>
      <c r="Q201" s="151" t="str">
        <f t="shared" si="14"/>
        <v>10-Compte compteur</v>
      </c>
      <c r="R201" s="150" t="str">
        <f t="shared" si="14"/>
        <v>4127</v>
      </c>
      <c r="S201" s="151">
        <f t="shared" si="14"/>
        <v>0</v>
      </c>
      <c r="T201" s="153" t="str">
        <f>+VLOOKUP($L201,Data_Validation!$A:$D,1,0)</f>
        <v>4127@</v>
      </c>
      <c r="U201" s="153" t="str">
        <f>+VLOOKUP($L201,Data_Validation!$A:$D,3,0)</f>
        <v>Véhicules neufs</v>
      </c>
      <c r="V201" s="153" t="str">
        <f>+VLOOKUP($L201,Data_Validation!$A:$D,4,0)</f>
        <v>Autos détail</v>
      </c>
      <c r="W201" s="153" t="str">
        <f>+VLOOKUP($L201,Data_Validation!$A:$E,5,0)</f>
        <v>NB</v>
      </c>
      <c r="X201" s="153">
        <f>+VLOOKUP($L201,Data_Validation!$A:$F,6,0)</f>
        <v>0</v>
      </c>
    </row>
    <row r="202" spans="1:24" ht="15" customHeight="1">
      <c r="A202" s="1430" t="s">
        <v>1991</v>
      </c>
      <c r="B202" s="1431">
        <v>4131</v>
      </c>
      <c r="C202" s="1433">
        <v>-9793798.8100000005</v>
      </c>
      <c r="D202" s="1433">
        <v>-1175159.1100000001</v>
      </c>
      <c r="E202" s="1433">
        <v>-10968957.92</v>
      </c>
      <c r="F202" s="1430" t="s">
        <v>282</v>
      </c>
      <c r="G202" s="1430" t="s">
        <v>1992</v>
      </c>
      <c r="H202" s="1432"/>
      <c r="I202" s="1432"/>
      <c r="J202" s="1432"/>
      <c r="K202" s="1432"/>
      <c r="L202" s="150">
        <f t="shared" si="0"/>
        <v>4131</v>
      </c>
      <c r="M202" s="151" t="str">
        <f t="shared" si="1"/>
        <v>VTE - TIGUAN LWB</v>
      </c>
      <c r="N202" s="152">
        <f>+IF(OR($Q202=Parametres!$G$2,$Q202=Parametres!$G$3),I202,C202)</f>
        <v>-9793798.8100000005</v>
      </c>
      <c r="O202" s="152">
        <f>+IF(OR($Q202=Parametres!$G$2,$Q202=Parametres!$G$3),J202,D202)</f>
        <v>-1175159.1100000001</v>
      </c>
      <c r="P202" s="152">
        <f>+IF(OR($Q202=Parametres!$G$2,$Q202=Parametres!$G$3),K202,E202)</f>
        <v>-10968957.92</v>
      </c>
      <c r="Q202" s="151" t="str">
        <f t="shared" si="14"/>
        <v>5-Ventes</v>
      </c>
      <c r="R202" s="150" t="str">
        <f t="shared" si="14"/>
        <v>4131</v>
      </c>
      <c r="S202" s="151">
        <f t="shared" si="14"/>
        <v>0</v>
      </c>
      <c r="T202" s="153">
        <f>+VLOOKUP($L202,Data_Validation!$A:$D,1,0)</f>
        <v>4131</v>
      </c>
      <c r="U202" s="153" t="str">
        <f>+VLOOKUP($L202,Data_Validation!$A:$D,3,0)</f>
        <v>Véhicules neufs</v>
      </c>
      <c r="V202" s="153" t="str">
        <f>+VLOOKUP($L202,Data_Validation!$A:$D,4,0)</f>
        <v>Camions détail</v>
      </c>
      <c r="W202" s="153" t="str">
        <f>+VLOOKUP($L202,Data_Validation!$A:$E,5,0)</f>
        <v>$</v>
      </c>
      <c r="X202" s="153" t="str">
        <f>+VLOOKUP($L202,Data_Validation!$A:$F,6,0)</f>
        <v>Oui</v>
      </c>
    </row>
    <row r="203" spans="1:24" ht="15" customHeight="1">
      <c r="A203" s="1430" t="s">
        <v>2493</v>
      </c>
      <c r="B203" s="1430" t="s">
        <v>2494</v>
      </c>
      <c r="C203" s="1432"/>
      <c r="D203" s="1432"/>
      <c r="E203" s="1432"/>
      <c r="F203" s="1430" t="s">
        <v>4</v>
      </c>
      <c r="G203" s="1430" t="s">
        <v>1992</v>
      </c>
      <c r="H203" s="1432"/>
      <c r="I203" s="1433">
        <v>-248</v>
      </c>
      <c r="J203" s="1433">
        <v>-28</v>
      </c>
      <c r="K203" s="1433">
        <v>-276</v>
      </c>
      <c r="L203" s="150" t="str">
        <f t="shared" si="0"/>
        <v>4131@</v>
      </c>
      <c r="M203" s="151" t="str">
        <f t="shared" si="1"/>
        <v># DE VTE - TIGUAN LWB</v>
      </c>
      <c r="N203" s="152">
        <f>+IF(OR($Q203=Parametres!$G$2,$Q203=Parametres!$G$3),I203,C203)</f>
        <v>-248</v>
      </c>
      <c r="O203" s="152">
        <f>+IF(OR($Q203=Parametres!$G$2,$Q203=Parametres!$G$3),J203,D203)</f>
        <v>-28</v>
      </c>
      <c r="P203" s="152">
        <f>+IF(OR($Q203=Parametres!$G$2,$Q203=Parametres!$G$3),K203,E203)</f>
        <v>-276</v>
      </c>
      <c r="Q203" s="151" t="str">
        <f t="shared" si="14"/>
        <v>10-Compte compteur</v>
      </c>
      <c r="R203" s="150" t="str">
        <f t="shared" si="14"/>
        <v>4131</v>
      </c>
      <c r="S203" s="151">
        <f t="shared" si="14"/>
        <v>0</v>
      </c>
      <c r="T203" s="153" t="str">
        <f>+VLOOKUP($L203,Data_Validation!$A:$D,1,0)</f>
        <v>4131@</v>
      </c>
      <c r="U203" s="153" t="str">
        <f>+VLOOKUP($L203,Data_Validation!$A:$D,3,0)</f>
        <v>Véhicules neufs</v>
      </c>
      <c r="V203" s="153" t="str">
        <f>+VLOOKUP($L203,Data_Validation!$A:$D,4,0)</f>
        <v>Camions détail</v>
      </c>
      <c r="W203" s="153" t="str">
        <f>+VLOOKUP($L203,Data_Validation!$A:$E,5,0)</f>
        <v>NB</v>
      </c>
      <c r="X203" s="153">
        <f>+VLOOKUP($L203,Data_Validation!$A:$F,6,0)</f>
        <v>0</v>
      </c>
    </row>
    <row r="204" spans="1:24" ht="15" customHeight="1">
      <c r="A204" s="1430" t="s">
        <v>2021</v>
      </c>
      <c r="B204" s="1431">
        <v>4135</v>
      </c>
      <c r="C204" s="1433">
        <v>-354962.21</v>
      </c>
      <c r="D204" s="1433">
        <v>0</v>
      </c>
      <c r="E204" s="1433">
        <v>-354962.21</v>
      </c>
      <c r="F204" s="1430" t="s">
        <v>282</v>
      </c>
      <c r="G204" s="1430" t="s">
        <v>2022</v>
      </c>
      <c r="H204" s="1432"/>
      <c r="I204" s="1432"/>
      <c r="J204" s="1432"/>
      <c r="K204" s="1432"/>
      <c r="L204" s="150">
        <f t="shared" si="0"/>
        <v>4135</v>
      </c>
      <c r="M204" s="151" t="str">
        <f t="shared" si="1"/>
        <v>VTE - EGOLF</v>
      </c>
      <c r="N204" s="152">
        <f>+IF(OR($Q204=Parametres!$G$2,$Q204=Parametres!$G$3),I204,C204)</f>
        <v>-354962.21</v>
      </c>
      <c r="O204" s="152">
        <f>+IF(OR($Q204=Parametres!$G$2,$Q204=Parametres!$G$3),J204,D204)</f>
        <v>0</v>
      </c>
      <c r="P204" s="152">
        <f>+IF(OR($Q204=Parametres!$G$2,$Q204=Parametres!$G$3),K204,E204)</f>
        <v>-354962.21</v>
      </c>
      <c r="Q204" s="151" t="str">
        <f t="shared" si="14"/>
        <v>5-Ventes</v>
      </c>
      <c r="R204" s="150" t="str">
        <f t="shared" si="14"/>
        <v>4135</v>
      </c>
      <c r="S204" s="151">
        <f t="shared" si="14"/>
        <v>0</v>
      </c>
      <c r="T204" s="153">
        <f>+VLOOKUP($L204,Data_Validation!$A:$D,1,0)</f>
        <v>4135</v>
      </c>
      <c r="U204" s="153" t="str">
        <f>+VLOOKUP($L204,Data_Validation!$A:$D,3,0)</f>
        <v>Véhicules neufs</v>
      </c>
      <c r="V204" s="153" t="str">
        <f>+VLOOKUP($L204,Data_Validation!$A:$D,4,0)</f>
        <v>Autos détail</v>
      </c>
      <c r="W204" s="153" t="str">
        <f>+VLOOKUP($L204,Data_Validation!$A:$E,5,0)</f>
        <v>$</v>
      </c>
      <c r="X204" s="153" t="str">
        <f>+VLOOKUP($L204,Data_Validation!$A:$F,6,0)</f>
        <v>Oui</v>
      </c>
    </row>
    <row r="205" spans="1:24" ht="15" customHeight="1">
      <c r="A205" s="1430" t="s">
        <v>2495</v>
      </c>
      <c r="B205" s="1430" t="s">
        <v>2496</v>
      </c>
      <c r="C205" s="1432"/>
      <c r="D205" s="1432"/>
      <c r="E205" s="1432"/>
      <c r="F205" s="1430" t="s">
        <v>4</v>
      </c>
      <c r="G205" s="1430" t="s">
        <v>2497</v>
      </c>
      <c r="H205" s="1432"/>
      <c r="I205" s="1433">
        <v>-10</v>
      </c>
      <c r="J205" s="1433">
        <v>0</v>
      </c>
      <c r="K205" s="1433">
        <v>-10</v>
      </c>
      <c r="L205" s="150" t="str">
        <f t="shared" si="0"/>
        <v>4135@</v>
      </c>
      <c r="M205" s="151" t="str">
        <f t="shared" si="1"/>
        <v>UNITES VENDUES - EGOLF</v>
      </c>
      <c r="N205" s="152">
        <f>+IF(OR($Q205=Parametres!$G$2,$Q205=Parametres!$G$3),I205,C205)</f>
        <v>-10</v>
      </c>
      <c r="O205" s="152">
        <f>+IF(OR($Q205=Parametres!$G$2,$Q205=Parametres!$G$3),J205,D205)</f>
        <v>0</v>
      </c>
      <c r="P205" s="152">
        <f>+IF(OR($Q205=Parametres!$G$2,$Q205=Parametres!$G$3),K205,E205)</f>
        <v>-10</v>
      </c>
      <c r="Q205" s="151" t="str">
        <f t="shared" si="14"/>
        <v>10-Compte compteur</v>
      </c>
      <c r="R205" s="150" t="str">
        <f t="shared" si="14"/>
        <v>84135</v>
      </c>
      <c r="S205" s="151">
        <f t="shared" si="14"/>
        <v>0</v>
      </c>
      <c r="T205" s="153" t="str">
        <f>+VLOOKUP($L205,Data_Validation!$A:$D,1,0)</f>
        <v>4135@</v>
      </c>
      <c r="U205" s="153" t="str">
        <f>+VLOOKUP($L205,Data_Validation!$A:$D,3,0)</f>
        <v>Véhicules neufs</v>
      </c>
      <c r="V205" s="153" t="str">
        <f>+VLOOKUP($L205,Data_Validation!$A:$D,4,0)</f>
        <v>Autos détail</v>
      </c>
      <c r="W205" s="153" t="str">
        <f>+VLOOKUP($L205,Data_Validation!$A:$E,5,0)</f>
        <v>NB</v>
      </c>
      <c r="X205" s="153">
        <f>+VLOOKUP($L205,Data_Validation!$A:$F,6,0)</f>
        <v>0</v>
      </c>
    </row>
    <row r="206" spans="1:24" ht="15.75" customHeight="1">
      <c r="A206" s="1430" t="s">
        <v>2432</v>
      </c>
      <c r="B206" s="1431">
        <v>4137</v>
      </c>
      <c r="C206" s="1433">
        <v>-699015</v>
      </c>
      <c r="D206" s="1433">
        <v>-43495</v>
      </c>
      <c r="E206" s="1433">
        <v>-742510</v>
      </c>
      <c r="F206" s="1430" t="s">
        <v>282</v>
      </c>
      <c r="G206" s="1430" t="s">
        <v>2433</v>
      </c>
      <c r="H206" s="1432"/>
      <c r="I206" s="1432"/>
      <c r="J206" s="1432"/>
      <c r="K206" s="1432"/>
      <c r="L206" s="150">
        <f t="shared" si="0"/>
        <v>4137</v>
      </c>
      <c r="M206" s="151" t="str">
        <f t="shared" si="1"/>
        <v>VTE - VW-FLOTTE/VENTES ENTR/EMPLOYE/VEH DEMON</v>
      </c>
      <c r="N206" s="152">
        <f>+IF(OR($Q206=Parametres!$G$2,$Q206=Parametres!$G$3),I206,C206)</f>
        <v>-699015</v>
      </c>
      <c r="O206" s="152">
        <f>+IF(OR($Q206=Parametres!$G$2,$Q206=Parametres!$G$3),J206,D206)</f>
        <v>-43495</v>
      </c>
      <c r="P206" s="152">
        <f>+IF(OR($Q206=Parametres!$G$2,$Q206=Parametres!$G$3),K206,E206)</f>
        <v>-742510</v>
      </c>
      <c r="Q206" s="151" t="str">
        <f t="shared" si="14"/>
        <v>5-Ventes</v>
      </c>
      <c r="R206" s="150" t="str">
        <f t="shared" si="14"/>
        <v>4137</v>
      </c>
      <c r="S206" s="151">
        <f t="shared" si="14"/>
        <v>0</v>
      </c>
      <c r="T206" s="153">
        <f>+VLOOKUP($L206,Data_Validation!$A:$D,1,0)</f>
        <v>4137</v>
      </c>
      <c r="U206" s="153" t="str">
        <f>+VLOOKUP($L206,Data_Validation!$A:$D,3,0)</f>
        <v>Véhicules neufs</v>
      </c>
      <c r="V206" s="153" t="str">
        <f>+VLOOKUP($L206,Data_Validation!$A:$D,4,0)</f>
        <v>Flottes</v>
      </c>
      <c r="W206" s="153" t="str">
        <f>+VLOOKUP($L206,Data_Validation!$A:$E,5,0)</f>
        <v>$</v>
      </c>
      <c r="X206" s="153" t="str">
        <f>+VLOOKUP($L206,Data_Validation!$A:$F,6,0)</f>
        <v>Oui</v>
      </c>
    </row>
    <row r="207" spans="1:24" ht="15" customHeight="1">
      <c r="A207" s="1430" t="s">
        <v>2498</v>
      </c>
      <c r="B207" s="1430" t="s">
        <v>2499</v>
      </c>
      <c r="C207" s="1432"/>
      <c r="D207" s="1432"/>
      <c r="E207" s="1432"/>
      <c r="F207" s="1430" t="s">
        <v>4</v>
      </c>
      <c r="G207" s="1430" t="s">
        <v>2433</v>
      </c>
      <c r="H207" s="1432"/>
      <c r="I207" s="1433">
        <v>-19</v>
      </c>
      <c r="J207" s="1433">
        <v>-1</v>
      </c>
      <c r="K207" s="1433">
        <v>-20</v>
      </c>
      <c r="L207" s="150" t="str">
        <f t="shared" si="0"/>
        <v>4137@</v>
      </c>
      <c r="M207" s="151" t="str">
        <f t="shared" si="1"/>
        <v>VW FLOTTE/VENTE ENTR/EMPLOYE/VEH DEMONST</v>
      </c>
      <c r="N207" s="152">
        <f>+IF(OR($Q207=Parametres!$G$2,$Q207=Parametres!$G$3),I207,C207)</f>
        <v>-19</v>
      </c>
      <c r="O207" s="152">
        <f>+IF(OR($Q207=Parametres!$G$2,$Q207=Parametres!$G$3),J207,D207)</f>
        <v>-1</v>
      </c>
      <c r="P207" s="152">
        <f>+IF(OR($Q207=Parametres!$G$2,$Q207=Parametres!$G$3),K207,E207)</f>
        <v>-20</v>
      </c>
      <c r="Q207" s="151" t="str">
        <f t="shared" si="14"/>
        <v>10-Compte compteur</v>
      </c>
      <c r="R207" s="150" t="str">
        <f t="shared" si="14"/>
        <v>4137</v>
      </c>
      <c r="S207" s="151">
        <f t="shared" si="14"/>
        <v>0</v>
      </c>
      <c r="T207" s="153" t="str">
        <f>+VLOOKUP($L207,Data_Validation!$A:$D,1,0)</f>
        <v>4137@</v>
      </c>
      <c r="U207" s="153" t="str">
        <f>+VLOOKUP($L207,Data_Validation!$A:$D,3,0)</f>
        <v>Véhicules neufs</v>
      </c>
      <c r="V207" s="153" t="str">
        <f>+VLOOKUP($L207,Data_Validation!$A:$D,4,0)</f>
        <v>Flottes</v>
      </c>
      <c r="W207" s="153" t="str">
        <f>+VLOOKUP($L207,Data_Validation!$A:$E,5,0)</f>
        <v>NB</v>
      </c>
      <c r="X207" s="153">
        <f>+VLOOKUP($L207,Data_Validation!$A:$F,6,0)</f>
        <v>0</v>
      </c>
    </row>
    <row r="208" spans="1:24" ht="15" customHeight="1">
      <c r="A208" s="1430" t="s">
        <v>1997</v>
      </c>
      <c r="B208" s="1431">
        <v>4139</v>
      </c>
      <c r="C208" s="1433">
        <v>-2581417.23</v>
      </c>
      <c r="D208" s="1433">
        <v>-516987.78</v>
      </c>
      <c r="E208" s="1433">
        <v>-3098405.01</v>
      </c>
      <c r="F208" s="1430" t="s">
        <v>282</v>
      </c>
      <c r="G208" s="1430" t="s">
        <v>1998</v>
      </c>
      <c r="H208" s="1432"/>
      <c r="I208" s="1432"/>
      <c r="J208" s="1432"/>
      <c r="K208" s="1432"/>
      <c r="L208" s="150">
        <f t="shared" si="0"/>
        <v>4139</v>
      </c>
      <c r="M208" s="151" t="str">
        <f t="shared" si="1"/>
        <v>VTE - VW FLOTTE/VENTE ENTR/EMPLOYE/VEH DEMONS</v>
      </c>
      <c r="N208" s="152">
        <f>+IF(OR($Q208=Parametres!$G$2,$Q208=Parametres!$G$3),I208,C208)</f>
        <v>-2581417.23</v>
      </c>
      <c r="O208" s="152">
        <f>+IF(OR($Q208=Parametres!$G$2,$Q208=Parametres!$G$3),J208,D208)</f>
        <v>-516987.78</v>
      </c>
      <c r="P208" s="152">
        <f>+IF(OR($Q208=Parametres!$G$2,$Q208=Parametres!$G$3),K208,E208)</f>
        <v>-3098405.01</v>
      </c>
      <c r="Q208" s="151" t="str">
        <f t="shared" si="14"/>
        <v>5-Ventes</v>
      </c>
      <c r="R208" s="150" t="str">
        <f t="shared" si="14"/>
        <v>4139</v>
      </c>
      <c r="S208" s="151">
        <f t="shared" si="14"/>
        <v>0</v>
      </c>
      <c r="T208" s="153">
        <f>+VLOOKUP($L208,Data_Validation!$A:$D,1,0)</f>
        <v>4139</v>
      </c>
      <c r="U208" s="153" t="str">
        <f>+VLOOKUP($L208,Data_Validation!$A:$D,3,0)</f>
        <v>Véhicules neufs</v>
      </c>
      <c r="V208" s="153" t="str">
        <f>+VLOOKUP($L208,Data_Validation!$A:$D,4,0)</f>
        <v>Ex-Démos et courtoisies</v>
      </c>
      <c r="W208" s="153" t="str">
        <f>+VLOOKUP($L208,Data_Validation!$A:$E,5,0)</f>
        <v>$</v>
      </c>
      <c r="X208" s="153" t="str">
        <f>+VLOOKUP($L208,Data_Validation!$A:$F,6,0)</f>
        <v>Oui</v>
      </c>
    </row>
    <row r="209" spans="1:24" ht="15" customHeight="1">
      <c r="A209" s="1430" t="s">
        <v>2500</v>
      </c>
      <c r="B209" s="1430" t="s">
        <v>2501</v>
      </c>
      <c r="C209" s="1432"/>
      <c r="D209" s="1432"/>
      <c r="E209" s="1432"/>
      <c r="F209" s="1430" t="s">
        <v>4</v>
      </c>
      <c r="G209" s="1430" t="s">
        <v>1998</v>
      </c>
      <c r="H209" s="1432"/>
      <c r="I209" s="1433">
        <v>-78</v>
      </c>
      <c r="J209" s="1433">
        <v>-15</v>
      </c>
      <c r="K209" s="1433">
        <v>-93</v>
      </c>
      <c r="L209" s="150" t="str">
        <f t="shared" si="0"/>
        <v>4139@</v>
      </c>
      <c r="M209" s="151" t="str">
        <f t="shared" si="1"/>
        <v>VENTES A PARK AVENUE LOCATION</v>
      </c>
      <c r="N209" s="152">
        <f>+IF(OR($Q209=Parametres!$G$2,$Q209=Parametres!$G$3),I209,C209)</f>
        <v>-78</v>
      </c>
      <c r="O209" s="152">
        <f>+IF(OR($Q209=Parametres!$G$2,$Q209=Parametres!$G$3),J209,D209)</f>
        <v>-15</v>
      </c>
      <c r="P209" s="152">
        <f>+IF(OR($Q209=Parametres!$G$2,$Q209=Parametres!$G$3),K209,E209)</f>
        <v>-93</v>
      </c>
      <c r="Q209" s="151" t="str">
        <f t="shared" si="14"/>
        <v>10-Compte compteur</v>
      </c>
      <c r="R209" s="150" t="str">
        <f t="shared" si="14"/>
        <v>4139</v>
      </c>
      <c r="S209" s="151">
        <f t="shared" si="14"/>
        <v>0</v>
      </c>
      <c r="T209" s="153" t="str">
        <f>+VLOOKUP($L209,Data_Validation!$A:$D,1,0)</f>
        <v>4139@</v>
      </c>
      <c r="U209" s="153" t="str">
        <f>+VLOOKUP($L209,Data_Validation!$A:$D,3,0)</f>
        <v>Véhicules neufs</v>
      </c>
      <c r="V209" s="153" t="str">
        <f>+VLOOKUP($L209,Data_Validation!$A:$D,4,0)</f>
        <v>Ex-Démos et courtoisies</v>
      </c>
      <c r="W209" s="153" t="str">
        <f>+VLOOKUP($L209,Data_Validation!$A:$E,5,0)</f>
        <v>NB</v>
      </c>
      <c r="X209" s="153">
        <f>+VLOOKUP($L209,Data_Validation!$A:$F,6,0)</f>
        <v>0</v>
      </c>
    </row>
    <row r="210" spans="1:24" ht="15" customHeight="1">
      <c r="A210" s="1430" t="s">
        <v>1993</v>
      </c>
      <c r="B210" s="1431">
        <v>4201</v>
      </c>
      <c r="C210" s="1433">
        <v>-7833103.5800000001</v>
      </c>
      <c r="D210" s="1433">
        <v>-834104.75</v>
      </c>
      <c r="E210" s="1433">
        <v>-8667208.3300000001</v>
      </c>
      <c r="F210" s="1430" t="s">
        <v>282</v>
      </c>
      <c r="G210" s="1430" t="s">
        <v>1994</v>
      </c>
      <c r="H210" s="1432"/>
      <c r="I210" s="1432"/>
      <c r="J210" s="1432"/>
      <c r="K210" s="1432"/>
      <c r="L210" s="150">
        <f t="shared" si="0"/>
        <v>4201</v>
      </c>
      <c r="M210" s="151" t="str">
        <f t="shared" si="1"/>
        <v>VTE - VEH.USAGE VW DETAIL CERTIFIE</v>
      </c>
      <c r="N210" s="152">
        <f>+IF(OR($Q210=Parametres!$G$2,$Q210=Parametres!$G$3),I210,C210)</f>
        <v>-7833103.5800000001</v>
      </c>
      <c r="O210" s="152">
        <f>+IF(OR($Q210=Parametres!$G$2,$Q210=Parametres!$G$3),J210,D210)</f>
        <v>-834104.75</v>
      </c>
      <c r="P210" s="152">
        <f>+IF(OR($Q210=Parametres!$G$2,$Q210=Parametres!$G$3),K210,E210)</f>
        <v>-8667208.3300000001</v>
      </c>
      <c r="Q210" s="151" t="str">
        <f t="shared" ref="Q210:S225" si="15">+F210</f>
        <v>5-Ventes</v>
      </c>
      <c r="R210" s="150" t="str">
        <f t="shared" si="15"/>
        <v>4201</v>
      </c>
      <c r="S210" s="151">
        <f t="shared" si="15"/>
        <v>0</v>
      </c>
      <c r="T210" s="153">
        <f>+VLOOKUP($L210,Data_Validation!$A:$D,1,0)</f>
        <v>4201</v>
      </c>
      <c r="U210" s="153" t="str">
        <f>+VLOOKUP($L210,Data_Validation!$A:$D,3,0)</f>
        <v>Véhicules usagés</v>
      </c>
      <c r="V210" s="153" t="str">
        <f>+VLOOKUP($L210,Data_Validation!$A:$D,4,0)</f>
        <v>Certifié</v>
      </c>
      <c r="W210" s="153" t="str">
        <f>+VLOOKUP($L210,Data_Validation!$A:$E,5,0)</f>
        <v>$</v>
      </c>
      <c r="X210" s="153" t="str">
        <f>+VLOOKUP($L210,Data_Validation!$A:$F,6,0)</f>
        <v>Oui</v>
      </c>
    </row>
    <row r="211" spans="1:24" ht="15.75" customHeight="1">
      <c r="A211" s="1430" t="s">
        <v>2502</v>
      </c>
      <c r="B211" s="1430" t="s">
        <v>2503</v>
      </c>
      <c r="C211" s="1432"/>
      <c r="D211" s="1432"/>
      <c r="E211" s="1432"/>
      <c r="F211" s="1430" t="s">
        <v>4</v>
      </c>
      <c r="G211" s="1430" t="s">
        <v>1994</v>
      </c>
      <c r="H211" s="1432"/>
      <c r="I211" s="1433">
        <v>-346</v>
      </c>
      <c r="J211" s="1433">
        <v>-35</v>
      </c>
      <c r="K211" s="1433">
        <v>-381</v>
      </c>
      <c r="L211" s="150" t="str">
        <f t="shared" si="0"/>
        <v>4201@</v>
      </c>
      <c r="M211" s="151" t="str">
        <f t="shared" si="1"/>
        <v># DE VTE - VEH.USAGE VW DET.CERT.</v>
      </c>
      <c r="N211" s="152">
        <f>+IF(OR($Q211=Parametres!$G$2,$Q211=Parametres!$G$3),I211,C211)</f>
        <v>-346</v>
      </c>
      <c r="O211" s="152">
        <f>+IF(OR($Q211=Parametres!$G$2,$Q211=Parametres!$G$3),J211,D211)</f>
        <v>-35</v>
      </c>
      <c r="P211" s="152">
        <f>+IF(OR($Q211=Parametres!$G$2,$Q211=Parametres!$G$3),K211,E211)</f>
        <v>-381</v>
      </c>
      <c r="Q211" s="151" t="str">
        <f t="shared" si="15"/>
        <v>10-Compte compteur</v>
      </c>
      <c r="R211" s="150" t="str">
        <f t="shared" si="15"/>
        <v>4201</v>
      </c>
      <c r="S211" s="151">
        <f t="shared" si="15"/>
        <v>0</v>
      </c>
      <c r="T211" s="153" t="str">
        <f>+VLOOKUP($L211,Data_Validation!$A:$D,1,0)</f>
        <v>4201@</v>
      </c>
      <c r="U211" s="153" t="str">
        <f>+VLOOKUP($L211,Data_Validation!$A:$D,3,0)</f>
        <v>Véhicules usagés</v>
      </c>
      <c r="V211" s="153" t="str">
        <f>+VLOOKUP($L211,Data_Validation!$A:$D,4,0)</f>
        <v>Certifié</v>
      </c>
      <c r="W211" s="153" t="str">
        <f>+VLOOKUP($L211,Data_Validation!$A:$E,5,0)</f>
        <v>NB</v>
      </c>
      <c r="X211" s="153">
        <f>+VLOOKUP($L211,Data_Validation!$A:$F,6,0)</f>
        <v>0</v>
      </c>
    </row>
    <row r="212" spans="1:24" ht="15" customHeight="1">
      <c r="A212" s="1430" t="s">
        <v>2031</v>
      </c>
      <c r="B212" s="1431">
        <v>4285</v>
      </c>
      <c r="C212" s="1433">
        <v>-209986.8</v>
      </c>
      <c r="D212" s="1433">
        <v>-71999</v>
      </c>
      <c r="E212" s="1433">
        <v>-281985.8</v>
      </c>
      <c r="F212" s="1430" t="s">
        <v>282</v>
      </c>
      <c r="G212" s="1430" t="s">
        <v>2033</v>
      </c>
      <c r="H212" s="1432"/>
      <c r="I212" s="1432"/>
      <c r="J212" s="1432"/>
      <c r="K212" s="1432"/>
      <c r="L212" s="150">
        <f t="shared" si="0"/>
        <v>4285</v>
      </c>
      <c r="M212" s="151" t="str">
        <f t="shared" si="1"/>
        <v>VEH. D'OCC. AUTRE DETAIL</v>
      </c>
      <c r="N212" s="152">
        <f>+IF(OR($Q212=Parametres!$G$2,$Q212=Parametres!$G$3),I212,C212)</f>
        <v>-209986.8</v>
      </c>
      <c r="O212" s="152">
        <f>+IF(OR($Q212=Parametres!$G$2,$Q212=Parametres!$G$3),J212,D212)</f>
        <v>-71999</v>
      </c>
      <c r="P212" s="152">
        <f>+IF(OR($Q212=Parametres!$G$2,$Q212=Parametres!$G$3),K212,E212)</f>
        <v>-281985.8</v>
      </c>
      <c r="Q212" s="151" t="str">
        <f t="shared" si="15"/>
        <v>5-Ventes</v>
      </c>
      <c r="R212" s="150" t="str">
        <f t="shared" si="15"/>
        <v>4261</v>
      </c>
      <c r="S212" s="151">
        <f t="shared" si="15"/>
        <v>0</v>
      </c>
      <c r="T212" s="153">
        <f>+VLOOKUP($L212,Data_Validation!$A:$D,1,0)</f>
        <v>4285</v>
      </c>
      <c r="U212" s="153" t="str">
        <f>+VLOOKUP($L212,Data_Validation!$A:$D,3,0)</f>
        <v>Véhicules usagés</v>
      </c>
      <c r="V212" s="153" t="str">
        <f>+VLOOKUP($L212,Data_Validation!$A:$D,4,0)</f>
        <v>Non Certifié</v>
      </c>
      <c r="W212" s="153" t="str">
        <f>+VLOOKUP($L212,Data_Validation!$A:$E,5,0)</f>
        <v>$</v>
      </c>
      <c r="X212" s="153" t="str">
        <f>+VLOOKUP($L212,Data_Validation!$A:$F,6,0)</f>
        <v>Oui</v>
      </c>
    </row>
    <row r="213" spans="1:24" ht="15" customHeight="1">
      <c r="A213" s="1430" t="s">
        <v>2506</v>
      </c>
      <c r="B213" s="1430" t="s">
        <v>2507</v>
      </c>
      <c r="C213" s="1432"/>
      <c r="D213" s="1432"/>
      <c r="E213" s="1432"/>
      <c r="F213" s="1430" t="s">
        <v>4</v>
      </c>
      <c r="G213" s="1430" t="s">
        <v>2033</v>
      </c>
      <c r="H213" s="1432"/>
      <c r="I213" s="1433">
        <v>-10</v>
      </c>
      <c r="J213" s="1433">
        <v>-1</v>
      </c>
      <c r="K213" s="1433">
        <v>-11</v>
      </c>
      <c r="L213" s="150" t="str">
        <f t="shared" si="0"/>
        <v>4285@</v>
      </c>
      <c r="M213" s="151" t="str">
        <f t="shared" si="1"/>
        <v>AUTRE MARQUES DETAIL - USAGE</v>
      </c>
      <c r="N213" s="152">
        <f>+IF(OR($Q213=Parametres!$G$2,$Q213=Parametres!$G$3),I213,C213)</f>
        <v>-10</v>
      </c>
      <c r="O213" s="152">
        <f>+IF(OR($Q213=Parametres!$G$2,$Q213=Parametres!$G$3),J213,D213)</f>
        <v>-1</v>
      </c>
      <c r="P213" s="152">
        <f>+IF(OR($Q213=Parametres!$G$2,$Q213=Parametres!$G$3),K213,E213)</f>
        <v>-11</v>
      </c>
      <c r="Q213" s="151" t="str">
        <f t="shared" si="15"/>
        <v>10-Compte compteur</v>
      </c>
      <c r="R213" s="150" t="str">
        <f t="shared" si="15"/>
        <v>4261</v>
      </c>
      <c r="S213" s="151">
        <f t="shared" si="15"/>
        <v>0</v>
      </c>
      <c r="T213" s="153" t="str">
        <f>+VLOOKUP($L213,Data_Validation!$A:$D,1,0)</f>
        <v>4285@</v>
      </c>
      <c r="U213" s="153" t="str">
        <f>+VLOOKUP($L213,Data_Validation!$A:$D,3,0)</f>
        <v>Véhicules usagés</v>
      </c>
      <c r="V213" s="153" t="str">
        <f>+VLOOKUP($L213,Data_Validation!$A:$D,4,0)</f>
        <v>Non Certifié</v>
      </c>
      <c r="W213" s="153" t="str">
        <f>+VLOOKUP($L213,Data_Validation!$A:$E,5,0)</f>
        <v>NB</v>
      </c>
      <c r="X213" s="153">
        <f>+VLOOKUP($L213,Data_Validation!$A:$F,6,0)</f>
        <v>0</v>
      </c>
    </row>
    <row r="214" spans="1:24" ht="15" customHeight="1">
      <c r="A214" s="1430" t="s">
        <v>1999</v>
      </c>
      <c r="B214" s="1431">
        <v>4291</v>
      </c>
      <c r="C214" s="1433">
        <v>-4656700.41</v>
      </c>
      <c r="D214" s="1433">
        <v>-1082411</v>
      </c>
      <c r="E214" s="1433">
        <v>-5739111.4100000001</v>
      </c>
      <c r="F214" s="1430" t="s">
        <v>282</v>
      </c>
      <c r="G214" s="1430" t="s">
        <v>2001</v>
      </c>
      <c r="H214" s="1432"/>
      <c r="I214" s="1432"/>
      <c r="J214" s="1432"/>
      <c r="K214" s="1432"/>
      <c r="L214" s="150">
        <f t="shared" si="0"/>
        <v>4291</v>
      </c>
      <c r="M214" s="151" t="str">
        <f t="shared" si="1"/>
        <v>VEH. D'OCC. AU GROS</v>
      </c>
      <c r="N214" s="152">
        <f>+IF(OR($Q214=Parametres!$G$2,$Q214=Parametres!$G$3),I214,C214)</f>
        <v>-4656700.41</v>
      </c>
      <c r="O214" s="152">
        <f>+IF(OR($Q214=Parametres!$G$2,$Q214=Parametres!$G$3),J214,D214)</f>
        <v>-1082411</v>
      </c>
      <c r="P214" s="152">
        <f>+IF(OR($Q214=Parametres!$G$2,$Q214=Parametres!$G$3),K214,E214)</f>
        <v>-5739111.4100000001</v>
      </c>
      <c r="Q214" s="151" t="str">
        <f t="shared" si="15"/>
        <v>5-Ventes</v>
      </c>
      <c r="R214" s="150" t="str">
        <f t="shared" si="15"/>
        <v>4281</v>
      </c>
      <c r="S214" s="151">
        <f t="shared" si="15"/>
        <v>0</v>
      </c>
      <c r="T214" s="153">
        <f>+VLOOKUP($L214,Data_Validation!$A:$D,1,0)</f>
        <v>4291</v>
      </c>
      <c r="U214" s="153" t="str">
        <f>+VLOOKUP($L214,Data_Validation!$A:$D,3,0)</f>
        <v>Véhicules usagés</v>
      </c>
      <c r="V214" s="153" t="str">
        <f>+VLOOKUP($L214,Data_Validation!$A:$D,4,0)</f>
        <v>Ventes au Gros</v>
      </c>
      <c r="W214" s="153" t="str">
        <f>+VLOOKUP($L214,Data_Validation!$A:$E,5,0)</f>
        <v>$</v>
      </c>
      <c r="X214" s="153" t="str">
        <f>+VLOOKUP($L214,Data_Validation!$A:$F,6,0)</f>
        <v>Oui</v>
      </c>
    </row>
    <row r="215" spans="1:24" ht="15.75" customHeight="1">
      <c r="A215" s="1430" t="s">
        <v>2508</v>
      </c>
      <c r="B215" s="1430" t="s">
        <v>2509</v>
      </c>
      <c r="C215" s="1432"/>
      <c r="D215" s="1432"/>
      <c r="E215" s="1432"/>
      <c r="F215" s="1430" t="s">
        <v>4</v>
      </c>
      <c r="G215" s="1430" t="s">
        <v>2001</v>
      </c>
      <c r="H215" s="1432"/>
      <c r="I215" s="1433">
        <v>-385</v>
      </c>
      <c r="J215" s="1433">
        <v>-66</v>
      </c>
      <c r="K215" s="1433">
        <v>-451</v>
      </c>
      <c r="L215" s="150" t="str">
        <f t="shared" si="0"/>
        <v>4291@</v>
      </c>
      <c r="M215" s="151" t="str">
        <f t="shared" si="1"/>
        <v>VENTE AU GROS - USAGES</v>
      </c>
      <c r="N215" s="152">
        <f>+IF(OR($Q215=Parametres!$G$2,$Q215=Parametres!$G$3),I215,C215)</f>
        <v>-385</v>
      </c>
      <c r="O215" s="152">
        <f>+IF(OR($Q215=Parametres!$G$2,$Q215=Parametres!$G$3),J215,D215)</f>
        <v>-66</v>
      </c>
      <c r="P215" s="152">
        <f>+IF(OR($Q215=Parametres!$G$2,$Q215=Parametres!$G$3),K215,E215)</f>
        <v>-451</v>
      </c>
      <c r="Q215" s="151" t="str">
        <f t="shared" si="15"/>
        <v>10-Compte compteur</v>
      </c>
      <c r="R215" s="150" t="str">
        <f t="shared" si="15"/>
        <v>4281</v>
      </c>
      <c r="S215" s="151">
        <f t="shared" si="15"/>
        <v>0</v>
      </c>
      <c r="T215" s="153" t="str">
        <f>+VLOOKUP($L215,Data_Validation!$A:$D,1,0)</f>
        <v>4291@</v>
      </c>
      <c r="U215" s="153" t="str">
        <f>+VLOOKUP($L215,Data_Validation!$A:$D,3,0)</f>
        <v>Véhicules usagés</v>
      </c>
      <c r="V215" s="153" t="str">
        <f>+VLOOKUP($L215,Data_Validation!$A:$D,4,0)</f>
        <v>Ventes au Gros</v>
      </c>
      <c r="W215" s="153" t="str">
        <f>+VLOOKUP($L215,Data_Validation!$A:$E,5,0)</f>
        <v>NB</v>
      </c>
      <c r="X215" s="153">
        <f>+VLOOKUP($L215,Data_Validation!$A:$F,6,0)</f>
        <v>0</v>
      </c>
    </row>
    <row r="216" spans="1:24" ht="15" customHeight="1">
      <c r="A216" s="1430" t="s">
        <v>2004</v>
      </c>
      <c r="B216" s="1431">
        <v>4401</v>
      </c>
      <c r="C216" s="1433">
        <v>-923217.93</v>
      </c>
      <c r="D216" s="1433">
        <v>-246119.03</v>
      </c>
      <c r="E216" s="1433">
        <v>-1169336.96</v>
      </c>
      <c r="F216" s="1430" t="s">
        <v>282</v>
      </c>
      <c r="G216" s="1430" t="s">
        <v>2005</v>
      </c>
      <c r="H216" s="1432"/>
      <c r="I216" s="1432"/>
      <c r="J216" s="1432"/>
      <c r="K216" s="1432"/>
      <c r="L216" s="150">
        <f t="shared" si="0"/>
        <v>4401</v>
      </c>
      <c r="M216" s="151" t="str">
        <f t="shared" si="1"/>
        <v>M.O. MECANIQUE-VENTE CLIENTS</v>
      </c>
      <c r="N216" s="152">
        <f>+IF(OR($Q216=Parametres!$G$2,$Q216=Parametres!$G$3),I216,C216)</f>
        <v>-923217.93</v>
      </c>
      <c r="O216" s="152">
        <f>+IF(OR($Q216=Parametres!$G$2,$Q216=Parametres!$G$3),J216,D216)</f>
        <v>-246119.03</v>
      </c>
      <c r="P216" s="152">
        <f>+IF(OR($Q216=Parametres!$G$2,$Q216=Parametres!$G$3),K216,E216)</f>
        <v>-1169336.96</v>
      </c>
      <c r="Q216" s="151" t="str">
        <f t="shared" si="15"/>
        <v>5-Ventes</v>
      </c>
      <c r="R216" s="150" t="str">
        <f t="shared" si="15"/>
        <v>4401</v>
      </c>
      <c r="S216" s="151">
        <f t="shared" si="15"/>
        <v>0</v>
      </c>
      <c r="T216" s="153">
        <f>+VLOOKUP($L216,Data_Validation!$A:$D,1,0)</f>
        <v>4401</v>
      </c>
      <c r="U216" s="153" t="str">
        <f>+VLOOKUP($L216,Data_Validation!$A:$D,3,0)</f>
        <v>Service</v>
      </c>
      <c r="V216" s="153" t="str">
        <f>+VLOOKUP($L216,Data_Validation!$A:$D,4,0)</f>
        <v>M/O Client</v>
      </c>
      <c r="W216" s="153" t="str">
        <f>+VLOOKUP($L216,Data_Validation!$A:$E,5,0)</f>
        <v>$</v>
      </c>
      <c r="X216" s="153" t="str">
        <f>+VLOOKUP($L216,Data_Validation!$A:$F,6,0)</f>
        <v>Oui</v>
      </c>
    </row>
    <row r="217" spans="1:24" ht="15" customHeight="1">
      <c r="A217" s="1430" t="s">
        <v>2004</v>
      </c>
      <c r="B217" s="1430" t="s">
        <v>2510</v>
      </c>
      <c r="C217" s="1432"/>
      <c r="D217" s="1432"/>
      <c r="E217" s="1432"/>
      <c r="F217" s="1430" t="s">
        <v>4</v>
      </c>
      <c r="G217" s="1430" t="s">
        <v>2005</v>
      </c>
      <c r="H217" s="1432"/>
      <c r="I217" s="1433">
        <v>-4085</v>
      </c>
      <c r="J217" s="1433">
        <v>-1093</v>
      </c>
      <c r="K217" s="1433">
        <v>-5178</v>
      </c>
      <c r="L217" s="150" t="str">
        <f t="shared" si="0"/>
        <v>4401@</v>
      </c>
      <c r="M217" s="151" t="str">
        <f t="shared" si="1"/>
        <v>M.O. MECANIQUE-VENTE CLIENTS</v>
      </c>
      <c r="N217" s="152">
        <f>+IF(OR($Q217=Parametres!$G$2,$Q217=Parametres!$G$3),I217,C217)</f>
        <v>-4085</v>
      </c>
      <c r="O217" s="152">
        <f>+IF(OR($Q217=Parametres!$G$2,$Q217=Parametres!$G$3),J217,D217)</f>
        <v>-1093</v>
      </c>
      <c r="P217" s="152">
        <f>+IF(OR($Q217=Parametres!$G$2,$Q217=Parametres!$G$3),K217,E217)</f>
        <v>-5178</v>
      </c>
      <c r="Q217" s="151" t="str">
        <f t="shared" si="15"/>
        <v>10-Compte compteur</v>
      </c>
      <c r="R217" s="150" t="str">
        <f t="shared" si="15"/>
        <v>4401</v>
      </c>
      <c r="S217" s="151">
        <f t="shared" si="15"/>
        <v>0</v>
      </c>
      <c r="T217" s="153" t="str">
        <f>+VLOOKUP($L217,Data_Validation!$A:$D,1,0)</f>
        <v>4401@</v>
      </c>
      <c r="U217" s="153" t="str">
        <f>+VLOOKUP($L217,Data_Validation!$A:$D,3,0)</f>
        <v>Service</v>
      </c>
      <c r="V217" s="153" t="str">
        <f>+VLOOKUP($L217,Data_Validation!$A:$D,4,0)</f>
        <v>M/O Client</v>
      </c>
      <c r="W217" s="153" t="str">
        <f>+VLOOKUP($L217,Data_Validation!$A:$E,5,0)</f>
        <v>NB</v>
      </c>
      <c r="X217" s="153">
        <f>+VLOOKUP($L217,Data_Validation!$A:$F,6,0)</f>
        <v>0</v>
      </c>
    </row>
    <row r="218" spans="1:24" ht="15" customHeight="1">
      <c r="A218" s="1430" t="s">
        <v>2184</v>
      </c>
      <c r="B218" s="1431">
        <v>4402</v>
      </c>
      <c r="C218" s="1433">
        <v>-4064.65</v>
      </c>
      <c r="D218" s="1433">
        <v>-310.45999999999998</v>
      </c>
      <c r="E218" s="1433">
        <v>-4375.1099999999997</v>
      </c>
      <c r="F218" s="1430" t="s">
        <v>282</v>
      </c>
      <c r="G218" s="1430" t="s">
        <v>2185</v>
      </c>
      <c r="H218" s="1432"/>
      <c r="I218" s="1432"/>
      <c r="J218" s="1432"/>
      <c r="K218" s="1432"/>
      <c r="L218" s="150">
        <f t="shared" si="0"/>
        <v>4402</v>
      </c>
      <c r="M218" s="151" t="str">
        <f t="shared" si="1"/>
        <v>VTE - M.O. ESTHETIQUE CLIENT</v>
      </c>
      <c r="N218" s="152">
        <f>+IF(OR($Q218=Parametres!$G$2,$Q218=Parametres!$G$3),I218,C218)</f>
        <v>-4064.65</v>
      </c>
      <c r="O218" s="152">
        <f>+IF(OR($Q218=Parametres!$G$2,$Q218=Parametres!$G$3),J218,D218)</f>
        <v>-310.45999999999998</v>
      </c>
      <c r="P218" s="152">
        <f>+IF(OR($Q218=Parametres!$G$2,$Q218=Parametres!$G$3),K218,E218)</f>
        <v>-4375.1099999999997</v>
      </c>
      <c r="Q218" s="151" t="str">
        <f t="shared" si="15"/>
        <v>5-Ventes</v>
      </c>
      <c r="R218" s="150" t="str">
        <f t="shared" si="15"/>
        <v>4402</v>
      </c>
      <c r="S218" s="151">
        <f t="shared" si="15"/>
        <v>0</v>
      </c>
      <c r="T218" s="153">
        <f>+VLOOKUP($L218,Data_Validation!$A:$D,1,0)</f>
        <v>4402</v>
      </c>
      <c r="U218" s="153" t="str">
        <f>+VLOOKUP($L218,Data_Validation!$A:$D,3,0)</f>
        <v>Service</v>
      </c>
      <c r="V218" s="153" t="str">
        <f>+VLOOKUP($L218,Data_Validation!$A:$D,4,0)</f>
        <v>M/O Esthétique</v>
      </c>
      <c r="W218" s="153" t="str">
        <f>+VLOOKUP($L218,Data_Validation!$A:$E,5,0)</f>
        <v>$</v>
      </c>
      <c r="X218" s="153" t="str">
        <f>+VLOOKUP($L218,Data_Validation!$A:$F,6,0)</f>
        <v>Oui</v>
      </c>
    </row>
    <row r="219" spans="1:24" ht="15.75" customHeight="1">
      <c r="A219" s="1430" t="s">
        <v>2034</v>
      </c>
      <c r="B219" s="1431">
        <v>4403</v>
      </c>
      <c r="C219" s="1433">
        <v>-564215.18000000005</v>
      </c>
      <c r="D219" s="1433">
        <v>-29111.38</v>
      </c>
      <c r="E219" s="1433">
        <v>-593326.56000000006</v>
      </c>
      <c r="F219" s="1430" t="s">
        <v>282</v>
      </c>
      <c r="G219" s="1430" t="s">
        <v>2035</v>
      </c>
      <c r="H219" s="1432"/>
      <c r="I219" s="1432"/>
      <c r="J219" s="1432"/>
      <c r="K219" s="1432"/>
      <c r="L219" s="150">
        <f t="shared" si="0"/>
        <v>4403</v>
      </c>
      <c r="M219" s="151" t="str">
        <f t="shared" si="1"/>
        <v>M.O. MECANIQUE-VENTE GAR. MANU</v>
      </c>
      <c r="N219" s="152">
        <f>+IF(OR($Q219=Parametres!$G$2,$Q219=Parametres!$G$3),I219,C219)</f>
        <v>-564215.18000000005</v>
      </c>
      <c r="O219" s="152">
        <f>+IF(OR($Q219=Parametres!$G$2,$Q219=Parametres!$G$3),J219,D219)</f>
        <v>-29111.38</v>
      </c>
      <c r="P219" s="152">
        <f>+IF(OR($Q219=Parametres!$G$2,$Q219=Parametres!$G$3),K219,E219)</f>
        <v>-593326.56000000006</v>
      </c>
      <c r="Q219" s="151" t="str">
        <f t="shared" si="15"/>
        <v>5-Ventes</v>
      </c>
      <c r="R219" s="150" t="str">
        <f t="shared" si="15"/>
        <v>4403</v>
      </c>
      <c r="S219" s="151">
        <f t="shared" si="15"/>
        <v>0</v>
      </c>
      <c r="T219" s="153">
        <f>+VLOOKUP($L219,Data_Validation!$A:$D,1,0)</f>
        <v>4403</v>
      </c>
      <c r="U219" s="153" t="str">
        <f>+VLOOKUP($L219,Data_Validation!$A:$D,3,0)</f>
        <v>Service</v>
      </c>
      <c r="V219" s="153" t="str">
        <f>+VLOOKUP($L219,Data_Validation!$A:$D,4,0)</f>
        <v>M/O Garantie</v>
      </c>
      <c r="W219" s="153" t="str">
        <f>+VLOOKUP($L219,Data_Validation!$A:$E,5,0)</f>
        <v>$</v>
      </c>
      <c r="X219" s="153" t="str">
        <f>+VLOOKUP($L219,Data_Validation!$A:$F,6,0)</f>
        <v>Oui</v>
      </c>
    </row>
    <row r="220" spans="1:24" ht="15" customHeight="1">
      <c r="A220" s="1430" t="s">
        <v>2034</v>
      </c>
      <c r="B220" s="1430" t="s">
        <v>2513</v>
      </c>
      <c r="C220" s="1432"/>
      <c r="D220" s="1432"/>
      <c r="E220" s="1432"/>
      <c r="F220" s="1430" t="s">
        <v>4</v>
      </c>
      <c r="G220" s="1430" t="s">
        <v>2035</v>
      </c>
      <c r="H220" s="1432"/>
      <c r="I220" s="1433">
        <v>-2792</v>
      </c>
      <c r="J220" s="1433">
        <v>-373</v>
      </c>
      <c r="K220" s="1433">
        <v>-3165</v>
      </c>
      <c r="L220" s="150" t="str">
        <f t="shared" si="0"/>
        <v>4403@</v>
      </c>
      <c r="M220" s="151" t="str">
        <f t="shared" si="1"/>
        <v>M.O. MECANIQUE-VENTE GAR. MANU</v>
      </c>
      <c r="N220" s="152">
        <f>+IF(OR($Q220=Parametres!$G$2,$Q220=Parametres!$G$3),I220,C220)</f>
        <v>-2792</v>
      </c>
      <c r="O220" s="152">
        <f>+IF(OR($Q220=Parametres!$G$2,$Q220=Parametres!$G$3),J220,D220)</f>
        <v>-373</v>
      </c>
      <c r="P220" s="152">
        <f>+IF(OR($Q220=Parametres!$G$2,$Q220=Parametres!$G$3),K220,E220)</f>
        <v>-3165</v>
      </c>
      <c r="Q220" s="151" t="str">
        <f t="shared" si="15"/>
        <v>10-Compte compteur</v>
      </c>
      <c r="R220" s="150" t="str">
        <f t="shared" si="15"/>
        <v>4403</v>
      </c>
      <c r="S220" s="151">
        <f t="shared" si="15"/>
        <v>0</v>
      </c>
      <c r="T220" s="153" t="str">
        <f>+VLOOKUP($L220,Data_Validation!$A:$D,1,0)</f>
        <v>4403@</v>
      </c>
      <c r="U220" s="153" t="str">
        <f>+VLOOKUP($L220,Data_Validation!$A:$D,3,0)</f>
        <v>Service</v>
      </c>
      <c r="V220" s="153" t="str">
        <f>+VLOOKUP($L220,Data_Validation!$A:$D,4,0)</f>
        <v>M/O Garantie</v>
      </c>
      <c r="W220" s="153" t="str">
        <f>+VLOOKUP($L220,Data_Validation!$A:$E,5,0)</f>
        <v>NB</v>
      </c>
      <c r="X220" s="153">
        <f>+VLOOKUP($L220,Data_Validation!$A:$F,6,0)</f>
        <v>0</v>
      </c>
    </row>
    <row r="221" spans="1:24" ht="15" customHeight="1">
      <c r="A221" s="1430" t="s">
        <v>2044</v>
      </c>
      <c r="B221" s="1431">
        <v>4405</v>
      </c>
      <c r="C221" s="1433">
        <v>-583071.31000000006</v>
      </c>
      <c r="D221" s="1433">
        <v>-56435.33</v>
      </c>
      <c r="E221" s="1433">
        <v>-639506.64</v>
      </c>
      <c r="F221" s="1430" t="s">
        <v>282</v>
      </c>
      <c r="G221" s="1430" t="s">
        <v>2045</v>
      </c>
      <c r="H221" s="1432"/>
      <c r="I221" s="1432"/>
      <c r="J221" s="1432"/>
      <c r="K221" s="1432"/>
      <c r="L221" s="150">
        <f t="shared" si="0"/>
        <v>4405</v>
      </c>
      <c r="M221" s="151" t="str">
        <f t="shared" si="1"/>
        <v>M.O. MECANIQUE-VENTE INTERNE</v>
      </c>
      <c r="N221" s="152">
        <f>+IF(OR($Q221=Parametres!$G$2,$Q221=Parametres!$G$3),I221,C221)</f>
        <v>-583071.31000000006</v>
      </c>
      <c r="O221" s="152">
        <f>+IF(OR($Q221=Parametres!$G$2,$Q221=Parametres!$G$3),J221,D221)</f>
        <v>-56435.33</v>
      </c>
      <c r="P221" s="152">
        <f>+IF(OR($Q221=Parametres!$G$2,$Q221=Parametres!$G$3),K221,E221)</f>
        <v>-639506.64</v>
      </c>
      <c r="Q221" s="151" t="str">
        <f t="shared" si="15"/>
        <v>5-Ventes</v>
      </c>
      <c r="R221" s="150" t="str">
        <f t="shared" si="15"/>
        <v>4405</v>
      </c>
      <c r="S221" s="151">
        <f t="shared" si="15"/>
        <v>0</v>
      </c>
      <c r="T221" s="153">
        <f>+VLOOKUP($L221,Data_Validation!$A:$D,1,0)</f>
        <v>4405</v>
      </c>
      <c r="U221" s="153" t="str">
        <f>+VLOOKUP($L221,Data_Validation!$A:$D,3,0)</f>
        <v>Service</v>
      </c>
      <c r="V221" s="153" t="str">
        <f>+VLOOKUP($L221,Data_Validation!$A:$D,4,0)</f>
        <v>M/O Interne</v>
      </c>
      <c r="W221" s="153" t="str">
        <f>+VLOOKUP($L221,Data_Validation!$A:$E,5,0)</f>
        <v>$</v>
      </c>
      <c r="X221" s="153" t="str">
        <f>+VLOOKUP($L221,Data_Validation!$A:$F,6,0)</f>
        <v>Oui</v>
      </c>
    </row>
    <row r="222" spans="1:24" ht="15" customHeight="1">
      <c r="A222" s="1430" t="s">
        <v>2044</v>
      </c>
      <c r="B222" s="1430" t="s">
        <v>2514</v>
      </c>
      <c r="C222" s="1432"/>
      <c r="D222" s="1432"/>
      <c r="E222" s="1432"/>
      <c r="F222" s="1430" t="s">
        <v>4</v>
      </c>
      <c r="G222" s="1430" t="s">
        <v>2045</v>
      </c>
      <c r="H222" s="1432"/>
      <c r="I222" s="1433">
        <v>-2744</v>
      </c>
      <c r="J222" s="1433">
        <v>-242</v>
      </c>
      <c r="K222" s="1433">
        <v>-2986</v>
      </c>
      <c r="L222" s="150" t="str">
        <f t="shared" si="0"/>
        <v>4405@</v>
      </c>
      <c r="M222" s="151" t="str">
        <f t="shared" si="1"/>
        <v>M.O. MECANIQUE-VENTE INTERNE</v>
      </c>
      <c r="N222" s="152">
        <f>+IF(OR($Q222=Parametres!$G$2,$Q222=Parametres!$G$3),I222,C222)</f>
        <v>-2744</v>
      </c>
      <c r="O222" s="152">
        <f>+IF(OR($Q222=Parametres!$G$2,$Q222=Parametres!$G$3),J222,D222)</f>
        <v>-242</v>
      </c>
      <c r="P222" s="152">
        <f>+IF(OR($Q222=Parametres!$G$2,$Q222=Parametres!$G$3),K222,E222)</f>
        <v>-2986</v>
      </c>
      <c r="Q222" s="151" t="str">
        <f t="shared" si="15"/>
        <v>10-Compte compteur</v>
      </c>
      <c r="R222" s="150" t="str">
        <f t="shared" si="15"/>
        <v>4405</v>
      </c>
      <c r="S222" s="151">
        <f t="shared" si="15"/>
        <v>0</v>
      </c>
      <c r="T222" s="153" t="str">
        <f>+VLOOKUP($L222,Data_Validation!$A:$D,1,0)</f>
        <v>4405@</v>
      </c>
      <c r="U222" s="153" t="str">
        <f>+VLOOKUP($L222,Data_Validation!$A:$D,3,0)</f>
        <v>Service</v>
      </c>
      <c r="V222" s="153" t="str">
        <f>+VLOOKUP($L222,Data_Validation!$A:$D,4,0)</f>
        <v>M/O Interne</v>
      </c>
      <c r="W222" s="153" t="str">
        <f>+VLOOKUP($L222,Data_Validation!$A:$E,5,0)</f>
        <v>NB</v>
      </c>
      <c r="X222" s="153">
        <f>+VLOOKUP($L222,Data_Validation!$A:$F,6,0)</f>
        <v>0</v>
      </c>
    </row>
    <row r="223" spans="1:24" ht="15" customHeight="1">
      <c r="A223" s="1430" t="s">
        <v>2619</v>
      </c>
      <c r="B223" s="1431">
        <v>4411</v>
      </c>
      <c r="C223" s="1433">
        <v>100</v>
      </c>
      <c r="D223" s="1433">
        <v>0</v>
      </c>
      <c r="E223" s="1433">
        <v>100</v>
      </c>
      <c r="F223" s="1430" t="s">
        <v>282</v>
      </c>
      <c r="G223" s="1430" t="s">
        <v>328</v>
      </c>
      <c r="H223" s="1432"/>
      <c r="I223" s="1432"/>
      <c r="J223" s="1432"/>
      <c r="K223" s="1432"/>
      <c r="L223" s="150">
        <f t="shared" si="0"/>
        <v>4411</v>
      </c>
      <c r="M223" s="151" t="str">
        <f t="shared" si="1"/>
        <v>VTE - M.O. MECANIQUE CLIENT AUDI</v>
      </c>
      <c r="N223" s="152">
        <f>+IF(OR($Q223=Parametres!$G$2,$Q223=Parametres!$G$3),I223,C223)</f>
        <v>100</v>
      </c>
      <c r="O223" s="152">
        <f>+IF(OR($Q223=Parametres!$G$2,$Q223=Parametres!$G$3),J223,D223)</f>
        <v>0</v>
      </c>
      <c r="P223" s="152">
        <f>+IF(OR($Q223=Parametres!$G$2,$Q223=Parametres!$G$3),K223,E223)</f>
        <v>100</v>
      </c>
      <c r="Q223" s="151" t="str">
        <f t="shared" si="15"/>
        <v>5-Ventes</v>
      </c>
      <c r="R223" s="150" t="str">
        <f t="shared" si="15"/>
        <v>84411</v>
      </c>
      <c r="S223" s="151">
        <f t="shared" si="15"/>
        <v>0</v>
      </c>
      <c r="T223" s="153">
        <f>+VLOOKUP($L223,Data_Validation!$A:$D,1,0)</f>
        <v>4411</v>
      </c>
      <c r="U223" s="153" t="str">
        <f>+VLOOKUP($L223,Data_Validation!$A:$D,3,0)</f>
        <v>Service</v>
      </c>
      <c r="V223" s="153" t="str">
        <f>+VLOOKUP($L223,Data_Validation!$A:$D,4,0)</f>
        <v>M/O Client</v>
      </c>
      <c r="W223" s="153" t="str">
        <f>+VLOOKUP($L223,Data_Validation!$A:$E,5,0)</f>
        <v>$</v>
      </c>
      <c r="X223" s="153" t="str">
        <f>+VLOOKUP($L223,Data_Validation!$A:$F,6,0)</f>
        <v>Oui</v>
      </c>
    </row>
    <row r="224" spans="1:24" ht="15" customHeight="1">
      <c r="A224" s="1430" t="s">
        <v>2515</v>
      </c>
      <c r="B224" s="1430" t="s">
        <v>2516</v>
      </c>
      <c r="C224" s="1432"/>
      <c r="D224" s="1432"/>
      <c r="E224" s="1432"/>
      <c r="F224" s="1430" t="s">
        <v>4</v>
      </c>
      <c r="G224" s="1430" t="s">
        <v>328</v>
      </c>
      <c r="H224" s="1432"/>
      <c r="I224" s="1433">
        <v>1</v>
      </c>
      <c r="J224" s="1433">
        <v>0</v>
      </c>
      <c r="K224" s="1433">
        <v>1</v>
      </c>
      <c r="L224" s="150" t="str">
        <f t="shared" si="0"/>
        <v>4411@</v>
      </c>
      <c r="M224" s="151" t="str">
        <f t="shared" si="1"/>
        <v># DE VTE - M.O. MEC.CLIENT AUDI</v>
      </c>
      <c r="N224" s="152">
        <f>+IF(OR($Q224=Parametres!$G$2,$Q224=Parametres!$G$3),I224,C224)</f>
        <v>1</v>
      </c>
      <c r="O224" s="152">
        <f>+IF(OR($Q224=Parametres!$G$2,$Q224=Parametres!$G$3),J224,D224)</f>
        <v>0</v>
      </c>
      <c r="P224" s="152">
        <f>+IF(OR($Q224=Parametres!$G$2,$Q224=Parametres!$G$3),K224,E224)</f>
        <v>1</v>
      </c>
      <c r="Q224" s="151" t="str">
        <f t="shared" si="15"/>
        <v>10-Compte compteur</v>
      </c>
      <c r="R224" s="150" t="str">
        <f t="shared" si="15"/>
        <v>84411</v>
      </c>
      <c r="S224" s="151">
        <f t="shared" si="15"/>
        <v>0</v>
      </c>
      <c r="T224" s="153" t="str">
        <f>+VLOOKUP($L224,Data_Validation!$A:$D,1,0)</f>
        <v>4411@</v>
      </c>
      <c r="U224" s="153" t="str">
        <f>+VLOOKUP($L224,Data_Validation!$A:$D,3,0)</f>
        <v>Service</v>
      </c>
      <c r="V224" s="153" t="str">
        <f>+VLOOKUP($L224,Data_Validation!$A:$D,4,0)</f>
        <v>M/O Client</v>
      </c>
      <c r="W224" s="153" t="str">
        <f>+VLOOKUP($L224,Data_Validation!$A:$E,5,0)</f>
        <v>NB</v>
      </c>
      <c r="X224" s="153">
        <f>+VLOOKUP($L224,Data_Validation!$A:$F,6,0)</f>
        <v>0</v>
      </c>
    </row>
    <row r="225" spans="1:24" ht="15.75" customHeight="1">
      <c r="A225" s="1430" t="s">
        <v>2064</v>
      </c>
      <c r="B225" s="1431">
        <v>4451</v>
      </c>
      <c r="C225" s="1433">
        <v>-174251.78</v>
      </c>
      <c r="D225" s="1433">
        <v>-30293.95</v>
      </c>
      <c r="E225" s="1433">
        <v>-204545.73</v>
      </c>
      <c r="F225" s="1430" t="s">
        <v>282</v>
      </c>
      <c r="G225" s="1430" t="s">
        <v>2066</v>
      </c>
      <c r="H225" s="1432"/>
      <c r="I225" s="1432"/>
      <c r="J225" s="1432"/>
      <c r="K225" s="1432"/>
      <c r="L225" s="150">
        <f t="shared" si="0"/>
        <v>4451</v>
      </c>
      <c r="M225" s="151" t="str">
        <f t="shared" si="1"/>
        <v>CARBURANT/HUILE/GRAISSE</v>
      </c>
      <c r="N225" s="152">
        <f>+IF(OR($Q225=Parametres!$G$2,$Q225=Parametres!$G$3),I225,C225)</f>
        <v>-174251.78</v>
      </c>
      <c r="O225" s="152">
        <f>+IF(OR($Q225=Parametres!$G$2,$Q225=Parametres!$G$3),J225,D225)</f>
        <v>-30293.95</v>
      </c>
      <c r="P225" s="152">
        <f>+IF(OR($Q225=Parametres!$G$2,$Q225=Parametres!$G$3),K225,E225)</f>
        <v>-204545.73</v>
      </c>
      <c r="Q225" s="151" t="str">
        <f t="shared" si="15"/>
        <v>5-Ventes</v>
      </c>
      <c r="R225" s="150" t="str">
        <f t="shared" si="15"/>
        <v>4782</v>
      </c>
      <c r="S225" s="151">
        <f t="shared" si="15"/>
        <v>0</v>
      </c>
      <c r="T225" s="153">
        <f>+VLOOKUP($L225,Data_Validation!$A:$D,1,0)</f>
        <v>4451</v>
      </c>
      <c r="U225" s="153" t="str">
        <f>+VLOOKUP($L225,Data_Validation!$A:$D,3,0)</f>
        <v>Pièces</v>
      </c>
      <c r="V225" s="153" t="str">
        <f>+VLOOKUP($L225,Data_Validation!$A:$D,4,0)</f>
        <v>Huiles et Graisse</v>
      </c>
      <c r="W225" s="153" t="str">
        <f>+VLOOKUP($L225,Data_Validation!$A:$E,5,0)</f>
        <v>$</v>
      </c>
      <c r="X225" s="153" t="str">
        <f>+VLOOKUP($L225,Data_Validation!$A:$F,6,0)</f>
        <v>Oui</v>
      </c>
    </row>
    <row r="226" spans="1:24" ht="15" customHeight="1">
      <c r="A226" s="1430" t="s">
        <v>2064</v>
      </c>
      <c r="B226" s="1430" t="s">
        <v>2517</v>
      </c>
      <c r="C226" s="1432"/>
      <c r="D226" s="1432"/>
      <c r="E226" s="1432"/>
      <c r="F226" s="1430" t="s">
        <v>4</v>
      </c>
      <c r="G226" s="1430" t="s">
        <v>2066</v>
      </c>
      <c r="H226" s="1432"/>
      <c r="I226" s="1433">
        <v>-3230</v>
      </c>
      <c r="J226" s="1433">
        <v>-497</v>
      </c>
      <c r="K226" s="1433">
        <v>-3727</v>
      </c>
      <c r="L226" s="150" t="str">
        <f t="shared" si="0"/>
        <v>4451@</v>
      </c>
      <c r="M226" s="151" t="str">
        <f t="shared" si="1"/>
        <v>CARBURANT/HUILE/GRAISSE</v>
      </c>
      <c r="N226" s="152">
        <f>+IF(OR($Q226=Parametres!$G$2,$Q226=Parametres!$G$3),I226,C226)</f>
        <v>-3230</v>
      </c>
      <c r="O226" s="152">
        <f>+IF(OR($Q226=Parametres!$G$2,$Q226=Parametres!$G$3),J226,D226)</f>
        <v>-497</v>
      </c>
      <c r="P226" s="152">
        <f>+IF(OR($Q226=Parametres!$G$2,$Q226=Parametres!$G$3),K226,E226)</f>
        <v>-3727</v>
      </c>
      <c r="Q226" s="151" t="str">
        <f t="shared" ref="Q226:S241" si="16">+F226</f>
        <v>10-Compte compteur</v>
      </c>
      <c r="R226" s="150" t="str">
        <f t="shared" si="16"/>
        <v>4782</v>
      </c>
      <c r="S226" s="151">
        <f t="shared" si="16"/>
        <v>0</v>
      </c>
      <c r="T226" s="153" t="str">
        <f>+VLOOKUP($L226,Data_Validation!$A:$D,1,0)</f>
        <v>4451@</v>
      </c>
      <c r="U226" s="153" t="str">
        <f>+VLOOKUP($L226,Data_Validation!$A:$D,3,0)</f>
        <v>Pièces</v>
      </c>
      <c r="V226" s="153" t="str">
        <f>+VLOOKUP($L226,Data_Validation!$A:$D,4,0)</f>
        <v>Huiles et Graisse</v>
      </c>
      <c r="W226" s="153" t="str">
        <f>+VLOOKUP($L226,Data_Validation!$A:$E,5,0)</f>
        <v>NB</v>
      </c>
      <c r="X226" s="153">
        <f>+VLOOKUP($L226,Data_Validation!$A:$F,6,0)</f>
        <v>0</v>
      </c>
    </row>
    <row r="227" spans="1:24" ht="15" customHeight="1">
      <c r="A227" s="1430" t="s">
        <v>2137</v>
      </c>
      <c r="B227" s="1431">
        <v>4491</v>
      </c>
      <c r="C227" s="1433">
        <v>-12869.81</v>
      </c>
      <c r="D227" s="1433">
        <v>-4039.04</v>
      </c>
      <c r="E227" s="1433">
        <v>-16908.849999999999</v>
      </c>
      <c r="F227" s="1430" t="s">
        <v>282</v>
      </c>
      <c r="G227" s="1430" t="s">
        <v>2138</v>
      </c>
      <c r="H227" s="1432"/>
      <c r="I227" s="1432"/>
      <c r="J227" s="1432"/>
      <c r="K227" s="1432"/>
      <c r="L227" s="150">
        <f t="shared" si="0"/>
        <v>4491</v>
      </c>
      <c r="M227" s="151" t="str">
        <f t="shared" si="1"/>
        <v>REPARATION SOUS-LOC. - GENERAL</v>
      </c>
      <c r="N227" s="152">
        <f>+IF(OR($Q227=Parametres!$G$2,$Q227=Parametres!$G$3),I227,C227)</f>
        <v>-12869.81</v>
      </c>
      <c r="O227" s="152">
        <f>+IF(OR($Q227=Parametres!$G$2,$Q227=Parametres!$G$3),J227,D227)</f>
        <v>-4039.04</v>
      </c>
      <c r="P227" s="152">
        <f>+IF(OR($Q227=Parametres!$G$2,$Q227=Parametres!$G$3),K227,E227)</f>
        <v>-16908.849999999999</v>
      </c>
      <c r="Q227" s="151" t="str">
        <f t="shared" si="16"/>
        <v>5-Ventes</v>
      </c>
      <c r="R227" s="150" t="str">
        <f t="shared" si="16"/>
        <v>4491</v>
      </c>
      <c r="S227" s="151">
        <f t="shared" si="16"/>
        <v>0</v>
      </c>
      <c r="T227" s="153">
        <f>+VLOOKUP($L227,Data_Validation!$A:$D,1,0)</f>
        <v>4491</v>
      </c>
      <c r="U227" s="153" t="str">
        <f>+VLOOKUP($L227,Data_Validation!$A:$D,3,0)</f>
        <v>Service</v>
      </c>
      <c r="V227" s="153" t="str">
        <f>+VLOOKUP($L227,Data_Validation!$A:$D,4,0)</f>
        <v>Sous-traitement</v>
      </c>
      <c r="W227" s="153" t="str">
        <f>+VLOOKUP($L227,Data_Validation!$A:$E,5,0)</f>
        <v>$</v>
      </c>
      <c r="X227" s="153" t="str">
        <f>+VLOOKUP($L227,Data_Validation!$A:$F,6,0)</f>
        <v>Oui</v>
      </c>
    </row>
    <row r="228" spans="1:24" ht="15" customHeight="1">
      <c r="A228" s="1430" t="s">
        <v>2137</v>
      </c>
      <c r="B228" s="1430" t="s">
        <v>2518</v>
      </c>
      <c r="C228" s="1432"/>
      <c r="D228" s="1432"/>
      <c r="E228" s="1432"/>
      <c r="F228" s="1430" t="s">
        <v>4</v>
      </c>
      <c r="G228" s="1430" t="s">
        <v>2138</v>
      </c>
      <c r="H228" s="1432"/>
      <c r="I228" s="1433">
        <v>-66</v>
      </c>
      <c r="J228" s="1433">
        <v>-20</v>
      </c>
      <c r="K228" s="1433">
        <v>-86</v>
      </c>
      <c r="L228" s="150" t="str">
        <f t="shared" si="0"/>
        <v>4491@</v>
      </c>
      <c r="M228" s="151" t="str">
        <f t="shared" si="1"/>
        <v>REPARATION SOUS-LOC. - GENERAL</v>
      </c>
      <c r="N228" s="152">
        <f>+IF(OR($Q228=Parametres!$G$2,$Q228=Parametres!$G$3),I228,C228)</f>
        <v>-66</v>
      </c>
      <c r="O228" s="152">
        <f>+IF(OR($Q228=Parametres!$G$2,$Q228=Parametres!$G$3),J228,D228)</f>
        <v>-20</v>
      </c>
      <c r="P228" s="152">
        <f>+IF(OR($Q228=Parametres!$G$2,$Q228=Parametres!$G$3),K228,E228)</f>
        <v>-86</v>
      </c>
      <c r="Q228" s="151" t="str">
        <f t="shared" si="16"/>
        <v>10-Compte compteur</v>
      </c>
      <c r="R228" s="150" t="str">
        <f t="shared" si="16"/>
        <v>4491</v>
      </c>
      <c r="S228" s="151">
        <f t="shared" si="16"/>
        <v>0</v>
      </c>
      <c r="T228" s="153" t="str">
        <f>+VLOOKUP($L228,Data_Validation!$A:$D,1,0)</f>
        <v>4491@</v>
      </c>
      <c r="U228" s="153" t="str">
        <f>+VLOOKUP($L228,Data_Validation!$A:$D,3,0)</f>
        <v>Service</v>
      </c>
      <c r="V228" s="153" t="str">
        <f>+VLOOKUP($L228,Data_Validation!$A:$D,4,0)</f>
        <v>Sous-traitement</v>
      </c>
      <c r="W228" s="153" t="str">
        <f>+VLOOKUP($L228,Data_Validation!$A:$E,5,0)</f>
        <v>NB</v>
      </c>
      <c r="X228" s="153">
        <f>+VLOOKUP($L228,Data_Validation!$A:$F,6,0)</f>
        <v>0</v>
      </c>
    </row>
    <row r="229" spans="1:24" ht="15.75" customHeight="1">
      <c r="A229" s="1430" t="s">
        <v>2160</v>
      </c>
      <c r="B229" s="1431">
        <v>4493</v>
      </c>
      <c r="C229" s="1433">
        <v>-18831.150000000001</v>
      </c>
      <c r="D229" s="1433">
        <v>-210</v>
      </c>
      <c r="E229" s="1433">
        <v>-19041.150000000001</v>
      </c>
      <c r="F229" s="1430" t="s">
        <v>282</v>
      </c>
      <c r="G229" s="1430" t="s">
        <v>2161</v>
      </c>
      <c r="H229" s="1432"/>
      <c r="I229" s="1432"/>
      <c r="J229" s="1432"/>
      <c r="K229" s="1432"/>
      <c r="L229" s="150">
        <f t="shared" si="0"/>
        <v>4493</v>
      </c>
      <c r="M229" s="151" t="str">
        <f t="shared" si="1"/>
        <v>VTE - SOUS-TRAITANCE GARANTIE</v>
      </c>
      <c r="N229" s="152">
        <f>+IF(OR($Q229=Parametres!$G$2,$Q229=Parametres!$G$3),I229,C229)</f>
        <v>-18831.150000000001</v>
      </c>
      <c r="O229" s="152">
        <f>+IF(OR($Q229=Parametres!$G$2,$Q229=Parametres!$G$3),J229,D229)</f>
        <v>-210</v>
      </c>
      <c r="P229" s="152">
        <f>+IF(OR($Q229=Parametres!$G$2,$Q229=Parametres!$G$3),K229,E229)</f>
        <v>-19041.150000000001</v>
      </c>
      <c r="Q229" s="151" t="str">
        <f t="shared" si="16"/>
        <v>5-Ventes</v>
      </c>
      <c r="R229" s="150" t="str">
        <f t="shared" si="16"/>
        <v>4493</v>
      </c>
      <c r="S229" s="151">
        <f t="shared" si="16"/>
        <v>0</v>
      </c>
      <c r="T229" s="153">
        <f>+VLOOKUP($L229,Data_Validation!$A:$D,1,0)</f>
        <v>4493</v>
      </c>
      <c r="U229" s="153" t="str">
        <f>+VLOOKUP($L229,Data_Validation!$A:$D,3,0)</f>
        <v>Service</v>
      </c>
      <c r="V229" s="153" t="str">
        <f>+VLOOKUP($L229,Data_Validation!$A:$D,4,0)</f>
        <v>Sous-traitement</v>
      </c>
      <c r="W229" s="153" t="str">
        <f>+VLOOKUP($L229,Data_Validation!$A:$E,5,0)</f>
        <v>$</v>
      </c>
      <c r="X229" s="153" t="str">
        <f>+VLOOKUP($L229,Data_Validation!$A:$F,6,0)</f>
        <v>Oui</v>
      </c>
    </row>
    <row r="230" spans="1:24" ht="15" customHeight="1">
      <c r="A230" s="1430" t="s">
        <v>2519</v>
      </c>
      <c r="B230" s="1430" t="s">
        <v>2520</v>
      </c>
      <c r="C230" s="1432"/>
      <c r="D230" s="1432"/>
      <c r="E230" s="1432"/>
      <c r="F230" s="1430" t="s">
        <v>4</v>
      </c>
      <c r="G230" s="1430" t="s">
        <v>2161</v>
      </c>
      <c r="H230" s="1432"/>
      <c r="I230" s="1433">
        <v>-31</v>
      </c>
      <c r="J230" s="1433">
        <v>-2</v>
      </c>
      <c r="K230" s="1433">
        <v>-33</v>
      </c>
      <c r="L230" s="150" t="str">
        <f t="shared" si="0"/>
        <v>4493@</v>
      </c>
      <c r="M230" s="151" t="str">
        <f t="shared" si="1"/>
        <v># DE VTE - SOUS-TRAITANCE GARANTIE</v>
      </c>
      <c r="N230" s="152">
        <f>+IF(OR($Q230=Parametres!$G$2,$Q230=Parametres!$G$3),I230,C230)</f>
        <v>-31</v>
      </c>
      <c r="O230" s="152">
        <f>+IF(OR($Q230=Parametres!$G$2,$Q230=Parametres!$G$3),J230,D230)</f>
        <v>-2</v>
      </c>
      <c r="P230" s="152">
        <f>+IF(OR($Q230=Parametres!$G$2,$Q230=Parametres!$G$3),K230,E230)</f>
        <v>-33</v>
      </c>
      <c r="Q230" s="151" t="str">
        <f t="shared" si="16"/>
        <v>10-Compte compteur</v>
      </c>
      <c r="R230" s="150" t="str">
        <f t="shared" si="16"/>
        <v>4493</v>
      </c>
      <c r="S230" s="151">
        <f t="shared" si="16"/>
        <v>0</v>
      </c>
      <c r="T230" s="153" t="str">
        <f>+VLOOKUP($L230,Data_Validation!$A:$D,1,0)</f>
        <v>4493@</v>
      </c>
      <c r="U230" s="153" t="str">
        <f>+VLOOKUP($L230,Data_Validation!$A:$D,3,0)</f>
        <v>Service</v>
      </c>
      <c r="V230" s="153" t="str">
        <f>+VLOOKUP($L230,Data_Validation!$A:$D,4,0)</f>
        <v>Sous-traitement</v>
      </c>
      <c r="W230" s="153" t="str">
        <f>+VLOOKUP($L230,Data_Validation!$A:$E,5,0)</f>
        <v>NB</v>
      </c>
      <c r="X230" s="153">
        <f>+VLOOKUP($L230,Data_Validation!$A:$F,6,0)</f>
        <v>0</v>
      </c>
    </row>
    <row r="231" spans="1:24" ht="15" customHeight="1">
      <c r="A231" s="1430" t="s">
        <v>2079</v>
      </c>
      <c r="B231" s="1431">
        <v>4495</v>
      </c>
      <c r="C231" s="1433">
        <v>-199349.62</v>
      </c>
      <c r="D231" s="1433">
        <v>-17446.95</v>
      </c>
      <c r="E231" s="1433">
        <v>-216796.57</v>
      </c>
      <c r="F231" s="1430" t="s">
        <v>282</v>
      </c>
      <c r="G231" s="1430" t="s">
        <v>2080</v>
      </c>
      <c r="H231" s="1432"/>
      <c r="I231" s="1432"/>
      <c r="J231" s="1432"/>
      <c r="K231" s="1432"/>
      <c r="L231" s="150">
        <f t="shared" si="0"/>
        <v>4495</v>
      </c>
      <c r="M231" s="151" t="str">
        <f t="shared" si="1"/>
        <v>VTE - S-TRAITANCE MEC.INTERNE VW</v>
      </c>
      <c r="N231" s="152">
        <f>+IF(OR($Q231=Parametres!$G$2,$Q231=Parametres!$G$3),I231,C231)</f>
        <v>-199349.62</v>
      </c>
      <c r="O231" s="152">
        <f>+IF(OR($Q231=Parametres!$G$2,$Q231=Parametres!$G$3),J231,D231)</f>
        <v>-17446.95</v>
      </c>
      <c r="P231" s="152">
        <f>+IF(OR($Q231=Parametres!$G$2,$Q231=Parametres!$G$3),K231,E231)</f>
        <v>-216796.57</v>
      </c>
      <c r="Q231" s="151" t="str">
        <f t="shared" si="16"/>
        <v>5-Ventes</v>
      </c>
      <c r="R231" s="150" t="str">
        <f t="shared" si="16"/>
        <v>4495</v>
      </c>
      <c r="S231" s="151">
        <f t="shared" si="16"/>
        <v>0</v>
      </c>
      <c r="T231" s="153">
        <f>+VLOOKUP($L231,Data_Validation!$A:$D,1,0)</f>
        <v>4495</v>
      </c>
      <c r="U231" s="153" t="str">
        <f>+VLOOKUP($L231,Data_Validation!$A:$D,3,0)</f>
        <v>Service</v>
      </c>
      <c r="V231" s="153" t="str">
        <f>+VLOOKUP($L231,Data_Validation!$A:$D,4,0)</f>
        <v>Sous-traitement</v>
      </c>
      <c r="W231" s="153" t="str">
        <f>+VLOOKUP($L231,Data_Validation!$A:$E,5,0)</f>
        <v>$</v>
      </c>
      <c r="X231" s="153" t="str">
        <f>+VLOOKUP($L231,Data_Validation!$A:$F,6,0)</f>
        <v>Oui</v>
      </c>
    </row>
    <row r="232" spans="1:24" ht="15" customHeight="1">
      <c r="A232" s="1430" t="s">
        <v>2521</v>
      </c>
      <c r="B232" s="1430" t="s">
        <v>2522</v>
      </c>
      <c r="C232" s="1432"/>
      <c r="D232" s="1432"/>
      <c r="E232" s="1432"/>
      <c r="F232" s="1430" t="s">
        <v>4</v>
      </c>
      <c r="G232" s="1430" t="s">
        <v>2080</v>
      </c>
      <c r="H232" s="1432"/>
      <c r="I232" s="1433">
        <v>-851</v>
      </c>
      <c r="J232" s="1433">
        <v>-80</v>
      </c>
      <c r="K232" s="1433">
        <v>-931</v>
      </c>
      <c r="L232" s="150" t="str">
        <f t="shared" si="0"/>
        <v>4495@</v>
      </c>
      <c r="M232" s="151" t="str">
        <f t="shared" si="1"/>
        <v># DE VTE - S-TRAITANCE MEC.INTERNE VW</v>
      </c>
      <c r="N232" s="152">
        <f>+IF(OR($Q232=Parametres!$G$2,$Q232=Parametres!$G$3),I232,C232)</f>
        <v>-851</v>
      </c>
      <c r="O232" s="152">
        <f>+IF(OR($Q232=Parametres!$G$2,$Q232=Parametres!$G$3),J232,D232)</f>
        <v>-80</v>
      </c>
      <c r="P232" s="152">
        <f>+IF(OR($Q232=Parametres!$G$2,$Q232=Parametres!$G$3),K232,E232)</f>
        <v>-931</v>
      </c>
      <c r="Q232" s="151" t="str">
        <f t="shared" si="16"/>
        <v>10-Compte compteur</v>
      </c>
      <c r="R232" s="150" t="str">
        <f t="shared" si="16"/>
        <v>4495</v>
      </c>
      <c r="S232" s="151">
        <f t="shared" si="16"/>
        <v>0</v>
      </c>
      <c r="T232" s="153" t="str">
        <f>+VLOOKUP($L232,Data_Validation!$A:$D,1,0)</f>
        <v>4495@</v>
      </c>
      <c r="U232" s="153" t="str">
        <f>+VLOOKUP($L232,Data_Validation!$A:$D,3,0)</f>
        <v>Service</v>
      </c>
      <c r="V232" s="153" t="str">
        <f>+VLOOKUP($L232,Data_Validation!$A:$D,4,0)</f>
        <v>Sous-traitement</v>
      </c>
      <c r="W232" s="153" t="str">
        <f>+VLOOKUP($L232,Data_Validation!$A:$E,5,0)</f>
        <v>NB</v>
      </c>
      <c r="X232" s="153">
        <f>+VLOOKUP($L232,Data_Validation!$A:$F,6,0)</f>
        <v>0</v>
      </c>
    </row>
    <row r="233" spans="1:24" ht="15" customHeight="1">
      <c r="A233" s="1430" t="s">
        <v>2062</v>
      </c>
      <c r="B233" s="1431">
        <v>4591</v>
      </c>
      <c r="C233" s="1433">
        <v>-294642.26</v>
      </c>
      <c r="D233" s="1433">
        <v>-36192.199999999997</v>
      </c>
      <c r="E233" s="1433">
        <v>-330834.46000000002</v>
      </c>
      <c r="F233" s="1430" t="s">
        <v>282</v>
      </c>
      <c r="G233" s="1430" t="s">
        <v>2063</v>
      </c>
      <c r="H233" s="1432"/>
      <c r="I233" s="1432"/>
      <c r="J233" s="1432"/>
      <c r="K233" s="1432"/>
      <c r="L233" s="150">
        <f t="shared" si="0"/>
        <v>4591</v>
      </c>
      <c r="M233" s="151" t="str">
        <f t="shared" si="1"/>
        <v>VTE - S-TRAIT. CARR.</v>
      </c>
      <c r="N233" s="152">
        <f>+IF(OR($Q233=Parametres!$G$2,$Q233=Parametres!$G$3),I233,C233)</f>
        <v>-294642.26</v>
      </c>
      <c r="O233" s="152">
        <f>+IF(OR($Q233=Parametres!$G$2,$Q233=Parametres!$G$3),J233,D233)</f>
        <v>-36192.199999999997</v>
      </c>
      <c r="P233" s="152">
        <f>+IF(OR($Q233=Parametres!$G$2,$Q233=Parametres!$G$3),K233,E233)</f>
        <v>-330834.46000000002</v>
      </c>
      <c r="Q233" s="151" t="str">
        <f t="shared" si="16"/>
        <v>5-Ventes</v>
      </c>
      <c r="R233" s="150" t="str">
        <f t="shared" si="16"/>
        <v>4591</v>
      </c>
      <c r="S233" s="151">
        <f t="shared" si="16"/>
        <v>0</v>
      </c>
      <c r="T233" s="153">
        <f>+VLOOKUP($L233,Data_Validation!$A:$D,1,0)</f>
        <v>4591</v>
      </c>
      <c r="U233" s="153" t="str">
        <f>+VLOOKUP($L233,Data_Validation!$A:$D,3,0)</f>
        <v>Carrosserie</v>
      </c>
      <c r="V233" s="153" t="str">
        <f>+VLOOKUP($L233,Data_Validation!$A:$D,4,0)</f>
        <v>M/O Sous-traitement</v>
      </c>
      <c r="W233" s="153" t="str">
        <f>+VLOOKUP($L233,Data_Validation!$A:$E,5,0)</f>
        <v>$</v>
      </c>
      <c r="X233" s="153" t="str">
        <f>+VLOOKUP($L233,Data_Validation!$A:$F,6,0)</f>
        <v>Oui</v>
      </c>
    </row>
    <row r="234" spans="1:24" ht="15.75" customHeight="1">
      <c r="A234" s="1430" t="s">
        <v>2523</v>
      </c>
      <c r="B234" s="1430" t="s">
        <v>2524</v>
      </c>
      <c r="C234" s="1432"/>
      <c r="D234" s="1432"/>
      <c r="E234" s="1432"/>
      <c r="F234" s="1430" t="s">
        <v>4</v>
      </c>
      <c r="G234" s="1430" t="s">
        <v>2063</v>
      </c>
      <c r="H234" s="1432"/>
      <c r="I234" s="1433">
        <v>-195</v>
      </c>
      <c r="J234" s="1433">
        <v>-32</v>
      </c>
      <c r="K234" s="1433">
        <v>-227</v>
      </c>
      <c r="L234" s="150" t="str">
        <f t="shared" si="0"/>
        <v>4591@</v>
      </c>
      <c r="M234" s="151" t="str">
        <f t="shared" si="1"/>
        <v>REPARATION SOUS-LOC.-PEINT/DEB</v>
      </c>
      <c r="N234" s="152">
        <f>+IF(OR($Q234=Parametres!$G$2,$Q234=Parametres!$G$3),I234,C234)</f>
        <v>-195</v>
      </c>
      <c r="O234" s="152">
        <f>+IF(OR($Q234=Parametres!$G$2,$Q234=Parametres!$G$3),J234,D234)</f>
        <v>-32</v>
      </c>
      <c r="P234" s="152">
        <f>+IF(OR($Q234=Parametres!$G$2,$Q234=Parametres!$G$3),K234,E234)</f>
        <v>-227</v>
      </c>
      <c r="Q234" s="151" t="str">
        <f t="shared" si="16"/>
        <v>10-Compte compteur</v>
      </c>
      <c r="R234" s="150" t="str">
        <f t="shared" si="16"/>
        <v>4591</v>
      </c>
      <c r="S234" s="151">
        <f t="shared" si="16"/>
        <v>0</v>
      </c>
      <c r="T234" s="153" t="str">
        <f>+VLOOKUP($L234,Data_Validation!$A:$D,1,0)</f>
        <v>4591@</v>
      </c>
      <c r="U234" s="153" t="str">
        <f>+VLOOKUP($L234,Data_Validation!$A:$D,3,0)</f>
        <v>Carrosserie</v>
      </c>
      <c r="V234" s="153" t="str">
        <f>+VLOOKUP($L234,Data_Validation!$A:$D,4,0)</f>
        <v>M/O Sous-traitement</v>
      </c>
      <c r="W234" s="153" t="str">
        <f>+VLOOKUP($L234,Data_Validation!$A:$E,5,0)</f>
        <v>NB</v>
      </c>
      <c r="X234" s="153">
        <f>+VLOOKUP($L234,Data_Validation!$A:$F,6,0)</f>
        <v>0</v>
      </c>
    </row>
    <row r="235" spans="1:24" ht="15" customHeight="1">
      <c r="A235" s="1430" t="s">
        <v>2060</v>
      </c>
      <c r="B235" s="1431">
        <v>4593</v>
      </c>
      <c r="C235" s="1433">
        <v>-448188.45</v>
      </c>
      <c r="D235" s="1433">
        <v>-53407.1</v>
      </c>
      <c r="E235" s="1433">
        <v>-501595.55</v>
      </c>
      <c r="F235" s="1430" t="s">
        <v>282</v>
      </c>
      <c r="G235" s="1430" t="s">
        <v>2061</v>
      </c>
      <c r="H235" s="1432"/>
      <c r="I235" s="1432"/>
      <c r="J235" s="1432"/>
      <c r="K235" s="1432"/>
      <c r="L235" s="150">
        <f t="shared" si="0"/>
        <v>4593</v>
      </c>
      <c r="M235" s="151" t="str">
        <f t="shared" si="1"/>
        <v>VTE - SOUS-TRAITANCE GARANTIE CARR.</v>
      </c>
      <c r="N235" s="152">
        <f>+IF(OR($Q235=Parametres!$G$2,$Q235=Parametres!$G$3),I235,C235)</f>
        <v>-448188.45</v>
      </c>
      <c r="O235" s="152">
        <f>+IF(OR($Q235=Parametres!$G$2,$Q235=Parametres!$G$3),J235,D235)</f>
        <v>-53407.1</v>
      </c>
      <c r="P235" s="152">
        <f>+IF(OR($Q235=Parametres!$G$2,$Q235=Parametres!$G$3),K235,E235)</f>
        <v>-501595.55</v>
      </c>
      <c r="Q235" s="151" t="str">
        <f t="shared" si="16"/>
        <v>5-Ventes</v>
      </c>
      <c r="R235" s="150" t="str">
        <f t="shared" si="16"/>
        <v>4593</v>
      </c>
      <c r="S235" s="151">
        <f t="shared" si="16"/>
        <v>0</v>
      </c>
      <c r="T235" s="153">
        <f>+VLOOKUP($L235,Data_Validation!$A:$D,1,0)</f>
        <v>4593</v>
      </c>
      <c r="U235" s="153" t="str">
        <f>+VLOOKUP($L235,Data_Validation!$A:$D,3,0)</f>
        <v>Carrosserie</v>
      </c>
      <c r="V235" s="153" t="str">
        <f>+VLOOKUP($L235,Data_Validation!$A:$D,4,0)</f>
        <v>M/O Sous-traitement</v>
      </c>
      <c r="W235" s="153" t="str">
        <f>+VLOOKUP($L235,Data_Validation!$A:$E,5,0)</f>
        <v>$</v>
      </c>
      <c r="X235" s="153" t="str">
        <f>+VLOOKUP($L235,Data_Validation!$A:$F,6,0)</f>
        <v>Oui</v>
      </c>
    </row>
    <row r="236" spans="1:24" ht="15" customHeight="1">
      <c r="A236" s="1430" t="s">
        <v>2525</v>
      </c>
      <c r="B236" s="1430" t="s">
        <v>2526</v>
      </c>
      <c r="C236" s="1432"/>
      <c r="D236" s="1432"/>
      <c r="E236" s="1432"/>
      <c r="F236" s="1430" t="s">
        <v>4</v>
      </c>
      <c r="G236" s="1430" t="s">
        <v>2061</v>
      </c>
      <c r="H236" s="1432"/>
      <c r="I236" s="1433">
        <v>-216</v>
      </c>
      <c r="J236" s="1433">
        <v>-23</v>
      </c>
      <c r="K236" s="1433">
        <v>-239</v>
      </c>
      <c r="L236" s="150" t="str">
        <f t="shared" si="0"/>
        <v>4593@</v>
      </c>
      <c r="M236" s="151" t="str">
        <f t="shared" si="1"/>
        <v># DE VTE - S-TRAITANCE GAR.CARR.</v>
      </c>
      <c r="N236" s="152">
        <f>+IF(OR($Q236=Parametres!$G$2,$Q236=Parametres!$G$3),I236,C236)</f>
        <v>-216</v>
      </c>
      <c r="O236" s="152">
        <f>+IF(OR($Q236=Parametres!$G$2,$Q236=Parametres!$G$3),J236,D236)</f>
        <v>-23</v>
      </c>
      <c r="P236" s="152">
        <f>+IF(OR($Q236=Parametres!$G$2,$Q236=Parametres!$G$3),K236,E236)</f>
        <v>-239</v>
      </c>
      <c r="Q236" s="151" t="str">
        <f t="shared" si="16"/>
        <v>10-Compte compteur</v>
      </c>
      <c r="R236" s="150" t="str">
        <f t="shared" si="16"/>
        <v>4593</v>
      </c>
      <c r="S236" s="151">
        <f t="shared" si="16"/>
        <v>0</v>
      </c>
      <c r="T236" s="153" t="str">
        <f>+VLOOKUP($L236,Data_Validation!$A:$D,1,0)</f>
        <v>4593@</v>
      </c>
      <c r="U236" s="153" t="str">
        <f>+VLOOKUP($L236,Data_Validation!$A:$D,3,0)</f>
        <v>Carrosserie</v>
      </c>
      <c r="V236" s="153" t="str">
        <f>+VLOOKUP($L236,Data_Validation!$A:$D,4,0)</f>
        <v>M/O Sous-traitement</v>
      </c>
      <c r="W236" s="153" t="str">
        <f>+VLOOKUP($L236,Data_Validation!$A:$E,5,0)</f>
        <v>NB</v>
      </c>
      <c r="X236" s="153">
        <f>+VLOOKUP($L236,Data_Validation!$A:$F,6,0)</f>
        <v>0</v>
      </c>
    </row>
    <row r="237" spans="1:24" ht="15" customHeight="1">
      <c r="A237" s="1430" t="s">
        <v>2093</v>
      </c>
      <c r="B237" s="1431">
        <v>4595</v>
      </c>
      <c r="C237" s="1433">
        <v>-84983.15</v>
      </c>
      <c r="D237" s="1433">
        <v>-8627.19</v>
      </c>
      <c r="E237" s="1433">
        <v>-93610.34</v>
      </c>
      <c r="F237" s="1430" t="s">
        <v>282</v>
      </c>
      <c r="G237" s="1430" t="s">
        <v>2094</v>
      </c>
      <c r="H237" s="1432"/>
      <c r="I237" s="1432"/>
      <c r="J237" s="1432"/>
      <c r="K237" s="1432"/>
      <c r="L237" s="150">
        <f t="shared" si="0"/>
        <v>4595</v>
      </c>
      <c r="M237" s="151" t="str">
        <f t="shared" si="1"/>
        <v>VTE - SOUS-TRAITANCE INTERNE CARR.</v>
      </c>
      <c r="N237" s="152">
        <f>+IF(OR($Q237=Parametres!$G$2,$Q237=Parametres!$G$3),I237,C237)</f>
        <v>-84983.15</v>
      </c>
      <c r="O237" s="152">
        <f>+IF(OR($Q237=Parametres!$G$2,$Q237=Parametres!$G$3),J237,D237)</f>
        <v>-8627.19</v>
      </c>
      <c r="P237" s="152">
        <f>+IF(OR($Q237=Parametres!$G$2,$Q237=Parametres!$G$3),K237,E237)</f>
        <v>-93610.34</v>
      </c>
      <c r="Q237" s="151" t="str">
        <f t="shared" si="16"/>
        <v>5-Ventes</v>
      </c>
      <c r="R237" s="150" t="str">
        <f t="shared" si="16"/>
        <v>4595</v>
      </c>
      <c r="S237" s="151">
        <f t="shared" si="16"/>
        <v>0</v>
      </c>
      <c r="T237" s="153">
        <f>+VLOOKUP($L237,Data_Validation!$A:$D,1,0)</f>
        <v>4595</v>
      </c>
      <c r="U237" s="153" t="str">
        <f>+VLOOKUP($L237,Data_Validation!$A:$D,3,0)</f>
        <v>Carrosserie</v>
      </c>
      <c r="V237" s="153" t="str">
        <f>+VLOOKUP($L237,Data_Validation!$A:$D,4,0)</f>
        <v>M/O Sous-traitement</v>
      </c>
      <c r="W237" s="153" t="str">
        <f>+VLOOKUP($L237,Data_Validation!$A:$E,5,0)</f>
        <v>$</v>
      </c>
      <c r="X237" s="153" t="str">
        <f>+VLOOKUP($L237,Data_Validation!$A:$F,6,0)</f>
        <v>Oui</v>
      </c>
    </row>
    <row r="238" spans="1:24" ht="15.75" customHeight="1">
      <c r="A238" s="1430" t="s">
        <v>2527</v>
      </c>
      <c r="B238" s="1430" t="s">
        <v>2528</v>
      </c>
      <c r="C238" s="1432"/>
      <c r="D238" s="1432"/>
      <c r="E238" s="1432"/>
      <c r="F238" s="1430" t="s">
        <v>4</v>
      </c>
      <c r="G238" s="1430" t="s">
        <v>2094</v>
      </c>
      <c r="H238" s="1432"/>
      <c r="I238" s="1433">
        <v>-192</v>
      </c>
      <c r="J238" s="1433">
        <v>-20</v>
      </c>
      <c r="K238" s="1433">
        <v>-212</v>
      </c>
      <c r="L238" s="150" t="str">
        <f t="shared" si="0"/>
        <v>4595@</v>
      </c>
      <c r="M238" s="151" t="str">
        <f t="shared" si="1"/>
        <v># DE VTE - S-TRAIT.INTERNE CARR.</v>
      </c>
      <c r="N238" s="152">
        <f>+IF(OR($Q238=Parametres!$G$2,$Q238=Parametres!$G$3),I238,C238)</f>
        <v>-192</v>
      </c>
      <c r="O238" s="152">
        <f>+IF(OR($Q238=Parametres!$G$2,$Q238=Parametres!$G$3),J238,D238)</f>
        <v>-20</v>
      </c>
      <c r="P238" s="152">
        <f>+IF(OR($Q238=Parametres!$G$2,$Q238=Parametres!$G$3),K238,E238)</f>
        <v>-212</v>
      </c>
      <c r="Q238" s="151" t="str">
        <f t="shared" si="16"/>
        <v>10-Compte compteur</v>
      </c>
      <c r="R238" s="150" t="str">
        <f t="shared" si="16"/>
        <v>4595</v>
      </c>
      <c r="S238" s="151">
        <f t="shared" si="16"/>
        <v>0</v>
      </c>
      <c r="T238" s="153" t="str">
        <f>+VLOOKUP($L238,Data_Validation!$A:$D,1,0)</f>
        <v>4595@</v>
      </c>
      <c r="U238" s="153" t="str">
        <f>+VLOOKUP($L238,Data_Validation!$A:$D,3,0)</f>
        <v>Carrosserie</v>
      </c>
      <c r="V238" s="153" t="str">
        <f>+VLOOKUP($L238,Data_Validation!$A:$D,4,0)</f>
        <v>M/O Sous-traitement</v>
      </c>
      <c r="W238" s="153" t="str">
        <f>+VLOOKUP($L238,Data_Validation!$A:$E,5,0)</f>
        <v>NB</v>
      </c>
      <c r="X238" s="153">
        <f>+VLOOKUP($L238,Data_Validation!$A:$F,6,0)</f>
        <v>0</v>
      </c>
    </row>
    <row r="239" spans="1:24" ht="15" customHeight="1">
      <c r="A239" s="1430" t="s">
        <v>2016</v>
      </c>
      <c r="B239" s="1431">
        <v>4701</v>
      </c>
      <c r="C239" s="1433">
        <v>-576847.34</v>
      </c>
      <c r="D239" s="1433">
        <v>-104770.25</v>
      </c>
      <c r="E239" s="1433">
        <v>-681617.59</v>
      </c>
      <c r="F239" s="1430" t="s">
        <v>282</v>
      </c>
      <c r="G239" s="1430" t="s">
        <v>2017</v>
      </c>
      <c r="H239" s="1432"/>
      <c r="I239" s="1432"/>
      <c r="J239" s="1432"/>
      <c r="K239" s="1432"/>
      <c r="L239" s="150">
        <f t="shared" si="0"/>
        <v>4701</v>
      </c>
      <c r="M239" s="151" t="str">
        <f t="shared" si="1"/>
        <v>VTE - PIECE/ACC B.R. CLIENT VW</v>
      </c>
      <c r="N239" s="152">
        <f>+IF(OR($Q239=Parametres!$G$2,$Q239=Parametres!$G$3),I239,C239)</f>
        <v>-576847.34</v>
      </c>
      <c r="O239" s="152">
        <f>+IF(OR($Q239=Parametres!$G$2,$Q239=Parametres!$G$3),J239,D239)</f>
        <v>-104770.25</v>
      </c>
      <c r="P239" s="152">
        <f>+IF(OR($Q239=Parametres!$G$2,$Q239=Parametres!$G$3),K239,E239)</f>
        <v>-681617.59</v>
      </c>
      <c r="Q239" s="151" t="str">
        <f t="shared" si="16"/>
        <v>5-Ventes</v>
      </c>
      <c r="R239" s="150" t="str">
        <f t="shared" si="16"/>
        <v>4701</v>
      </c>
      <c r="S239" s="151">
        <f t="shared" si="16"/>
        <v>0</v>
      </c>
      <c r="T239" s="153">
        <f>+VLOOKUP($L239,Data_Validation!$A:$D,1,0)</f>
        <v>4701</v>
      </c>
      <c r="U239" s="153" t="str">
        <f>+VLOOKUP($L239,Data_Validation!$A:$D,3,0)</f>
        <v>Pièces</v>
      </c>
      <c r="V239" s="153" t="str">
        <f>+VLOOKUP($L239,Data_Validation!$A:$D,4,0)</f>
        <v>Pièces Ro Clients</v>
      </c>
      <c r="W239" s="153" t="str">
        <f>+VLOOKUP($L239,Data_Validation!$A:$E,5,0)</f>
        <v>$</v>
      </c>
      <c r="X239" s="153" t="str">
        <f>+VLOOKUP($L239,Data_Validation!$A:$F,6,0)</f>
        <v>Oui</v>
      </c>
    </row>
    <row r="240" spans="1:24" ht="15" customHeight="1">
      <c r="A240" s="1430" t="s">
        <v>2529</v>
      </c>
      <c r="B240" s="1430" t="s">
        <v>2530</v>
      </c>
      <c r="C240" s="1432"/>
      <c r="D240" s="1432"/>
      <c r="E240" s="1432"/>
      <c r="F240" s="1430" t="s">
        <v>4</v>
      </c>
      <c r="G240" s="1430" t="s">
        <v>2017</v>
      </c>
      <c r="H240" s="1432"/>
      <c r="I240" s="1433">
        <v>-3718</v>
      </c>
      <c r="J240" s="1433">
        <v>-1060</v>
      </c>
      <c r="K240" s="1433">
        <v>-4778</v>
      </c>
      <c r="L240" s="150" t="str">
        <f t="shared" si="0"/>
        <v>4701@</v>
      </c>
      <c r="M240" s="151" t="str">
        <f t="shared" si="1"/>
        <v>PIECES-BON REPARATION- CLIENTS</v>
      </c>
      <c r="N240" s="152">
        <f>+IF(OR($Q240=Parametres!$G$2,$Q240=Parametres!$G$3),I240,C240)</f>
        <v>-3718</v>
      </c>
      <c r="O240" s="152">
        <f>+IF(OR($Q240=Parametres!$G$2,$Q240=Parametres!$G$3),J240,D240)</f>
        <v>-1060</v>
      </c>
      <c r="P240" s="152">
        <f>+IF(OR($Q240=Parametres!$G$2,$Q240=Parametres!$G$3),K240,E240)</f>
        <v>-4778</v>
      </c>
      <c r="Q240" s="151" t="str">
        <f t="shared" si="16"/>
        <v>10-Compte compteur</v>
      </c>
      <c r="R240" s="150" t="str">
        <f t="shared" si="16"/>
        <v>4701</v>
      </c>
      <c r="S240" s="151">
        <f t="shared" si="16"/>
        <v>0</v>
      </c>
      <c r="T240" s="153" t="str">
        <f>+VLOOKUP($L240,Data_Validation!$A:$D,1,0)</f>
        <v>4701@</v>
      </c>
      <c r="U240" s="153" t="str">
        <f>+VLOOKUP($L240,Data_Validation!$A:$D,3,0)</f>
        <v>Pièces</v>
      </c>
      <c r="V240" s="153" t="str">
        <f>+VLOOKUP($L240,Data_Validation!$A:$D,4,0)</f>
        <v>Pièces Ro Clients</v>
      </c>
      <c r="W240" s="153" t="str">
        <f>+VLOOKUP($L240,Data_Validation!$A:$E,5,0)</f>
        <v>NB</v>
      </c>
      <c r="X240" s="153">
        <f>+VLOOKUP($L240,Data_Validation!$A:$F,6,0)</f>
        <v>0</v>
      </c>
    </row>
    <row r="241" spans="1:24" ht="15" customHeight="1">
      <c r="A241" s="1430" t="s">
        <v>2143</v>
      </c>
      <c r="B241" s="1431">
        <v>4702</v>
      </c>
      <c r="C241" s="1433">
        <v>-5690.48</v>
      </c>
      <c r="D241" s="1433">
        <v>-1565.85</v>
      </c>
      <c r="E241" s="1433">
        <v>-7256.33</v>
      </c>
      <c r="F241" s="1430" t="s">
        <v>282</v>
      </c>
      <c r="G241" s="1430" t="s">
        <v>2144</v>
      </c>
      <c r="H241" s="1432"/>
      <c r="I241" s="1432"/>
      <c r="J241" s="1432"/>
      <c r="K241" s="1432"/>
      <c r="L241" s="150">
        <f t="shared" si="0"/>
        <v>4702</v>
      </c>
      <c r="M241" s="151" t="str">
        <f t="shared" si="1"/>
        <v>VTE - SHOP SUPPLY VW</v>
      </c>
      <c r="N241" s="152">
        <f>+IF(OR($Q241=Parametres!$G$2,$Q241=Parametres!$G$3),I241,C241)</f>
        <v>-5690.48</v>
      </c>
      <c r="O241" s="152">
        <f>+IF(OR($Q241=Parametres!$G$2,$Q241=Parametres!$G$3),J241,D241)</f>
        <v>-1565.85</v>
      </c>
      <c r="P241" s="152">
        <f>+IF(OR($Q241=Parametres!$G$2,$Q241=Parametres!$G$3),K241,E241)</f>
        <v>-7256.33</v>
      </c>
      <c r="Q241" s="151" t="str">
        <f t="shared" si="16"/>
        <v>5-Ventes</v>
      </c>
      <c r="R241" s="150" t="str">
        <f t="shared" si="16"/>
        <v>4702</v>
      </c>
      <c r="S241" s="151">
        <f t="shared" si="16"/>
        <v>0</v>
      </c>
      <c r="T241" s="153">
        <f>+VLOOKUP($L241,Data_Validation!$A:$D,1,0)</f>
        <v>4702</v>
      </c>
      <c r="U241" s="153" t="str">
        <f>+VLOOKUP($L241,Data_Validation!$A:$D,3,0)</f>
        <v>Service</v>
      </c>
      <c r="V241" s="153" t="str">
        <f>+VLOOKUP($L241,Data_Validation!$A:$D,4,0)</f>
        <v>M/O Client</v>
      </c>
      <c r="W241" s="153" t="str">
        <f>+VLOOKUP($L241,Data_Validation!$A:$E,5,0)</f>
        <v>$</v>
      </c>
      <c r="X241" s="153" t="str">
        <f>+VLOOKUP($L241,Data_Validation!$A:$F,6,0)</f>
        <v>Oui</v>
      </c>
    </row>
    <row r="242" spans="1:24" ht="15" customHeight="1">
      <c r="A242" s="1430" t="s">
        <v>2036</v>
      </c>
      <c r="B242" s="1431">
        <v>4703</v>
      </c>
      <c r="C242" s="1433">
        <v>-733353.73</v>
      </c>
      <c r="D242" s="1433">
        <v>-26438.95</v>
      </c>
      <c r="E242" s="1433">
        <v>-759792.68</v>
      </c>
      <c r="F242" s="1430" t="s">
        <v>282</v>
      </c>
      <c r="G242" s="1430" t="s">
        <v>2037</v>
      </c>
      <c r="H242" s="1432"/>
      <c r="I242" s="1432"/>
      <c r="J242" s="1432"/>
      <c r="K242" s="1432"/>
      <c r="L242" s="150">
        <f t="shared" si="0"/>
        <v>4703</v>
      </c>
      <c r="M242" s="151" t="str">
        <f t="shared" si="1"/>
        <v>VTE - PIECE/ACC B.R. GARANTIE VW</v>
      </c>
      <c r="N242" s="152">
        <f>+IF(OR($Q242=Parametres!$G$2,$Q242=Parametres!$G$3),I242,C242)</f>
        <v>-733353.73</v>
      </c>
      <c r="O242" s="152">
        <f>+IF(OR($Q242=Parametres!$G$2,$Q242=Parametres!$G$3),J242,D242)</f>
        <v>-26438.95</v>
      </c>
      <c r="P242" s="152">
        <f>+IF(OR($Q242=Parametres!$G$2,$Q242=Parametres!$G$3),K242,E242)</f>
        <v>-759792.68</v>
      </c>
      <c r="Q242" s="151" t="str">
        <f t="shared" ref="Q242:S257" si="17">+F242</f>
        <v>5-Ventes</v>
      </c>
      <c r="R242" s="150" t="str">
        <f t="shared" si="17"/>
        <v>4703</v>
      </c>
      <c r="S242" s="151">
        <f t="shared" si="17"/>
        <v>0</v>
      </c>
      <c r="T242" s="153">
        <f>+VLOOKUP($L242,Data_Validation!$A:$D,1,0)</f>
        <v>4703</v>
      </c>
      <c r="U242" s="153" t="str">
        <f>+VLOOKUP($L242,Data_Validation!$A:$D,3,0)</f>
        <v>Pièces</v>
      </c>
      <c r="V242" s="153" t="str">
        <f>+VLOOKUP($L242,Data_Validation!$A:$D,4,0)</f>
        <v>P/A Garantie</v>
      </c>
      <c r="W242" s="153" t="str">
        <f>+VLOOKUP($L242,Data_Validation!$A:$E,5,0)</f>
        <v>$</v>
      </c>
      <c r="X242" s="153" t="str">
        <f>+VLOOKUP($L242,Data_Validation!$A:$F,6,0)</f>
        <v>Oui</v>
      </c>
    </row>
    <row r="243" spans="1:24" ht="15.75" customHeight="1">
      <c r="A243" s="1430" t="s">
        <v>2531</v>
      </c>
      <c r="B243" s="1430" t="s">
        <v>2532</v>
      </c>
      <c r="C243" s="1432"/>
      <c r="D243" s="1432"/>
      <c r="E243" s="1432"/>
      <c r="F243" s="1430" t="s">
        <v>4</v>
      </c>
      <c r="G243" s="1430" t="s">
        <v>2037</v>
      </c>
      <c r="H243" s="1432"/>
      <c r="I243" s="1433">
        <v>-1843</v>
      </c>
      <c r="J243" s="1433">
        <v>-231</v>
      </c>
      <c r="K243" s="1433">
        <v>-2074</v>
      </c>
      <c r="L243" s="150" t="str">
        <f t="shared" si="0"/>
        <v>4703@</v>
      </c>
      <c r="M243" s="151" t="str">
        <f t="shared" si="1"/>
        <v>PIECES-BON REPARATION-GAR. MAN</v>
      </c>
      <c r="N243" s="152">
        <f>+IF(OR($Q243=Parametres!$G$2,$Q243=Parametres!$G$3),I243,C243)</f>
        <v>-1843</v>
      </c>
      <c r="O243" s="152">
        <f>+IF(OR($Q243=Parametres!$G$2,$Q243=Parametres!$G$3),J243,D243)</f>
        <v>-231</v>
      </c>
      <c r="P243" s="152">
        <f>+IF(OR($Q243=Parametres!$G$2,$Q243=Parametres!$G$3),K243,E243)</f>
        <v>-2074</v>
      </c>
      <c r="Q243" s="151" t="str">
        <f t="shared" si="17"/>
        <v>10-Compte compteur</v>
      </c>
      <c r="R243" s="150" t="str">
        <f t="shared" si="17"/>
        <v>4703</v>
      </c>
      <c r="S243" s="151">
        <f t="shared" si="17"/>
        <v>0</v>
      </c>
      <c r="T243" s="153" t="str">
        <f>+VLOOKUP($L243,Data_Validation!$A:$D,1,0)</f>
        <v>4703@</v>
      </c>
      <c r="U243" s="153" t="str">
        <f>+VLOOKUP($L243,Data_Validation!$A:$D,3,0)</f>
        <v>Pièces</v>
      </c>
      <c r="V243" s="153" t="str">
        <f>+VLOOKUP($L243,Data_Validation!$A:$D,4,0)</f>
        <v>P/A Garantie</v>
      </c>
      <c r="W243" s="153" t="str">
        <f>+VLOOKUP($L243,Data_Validation!$A:$E,5,0)</f>
        <v>NB</v>
      </c>
      <c r="X243" s="153">
        <f>+VLOOKUP($L243,Data_Validation!$A:$F,6,0)</f>
        <v>0</v>
      </c>
    </row>
    <row r="244" spans="1:24" ht="15" customHeight="1">
      <c r="A244" s="1430" t="s">
        <v>2040</v>
      </c>
      <c r="B244" s="1431">
        <v>4705</v>
      </c>
      <c r="C244" s="1433">
        <v>-515664.8</v>
      </c>
      <c r="D244" s="1433">
        <v>-65871.83</v>
      </c>
      <c r="E244" s="1433">
        <v>-581536.63</v>
      </c>
      <c r="F244" s="1430" t="s">
        <v>282</v>
      </c>
      <c r="G244" s="1430" t="s">
        <v>2041</v>
      </c>
      <c r="H244" s="1432"/>
      <c r="I244" s="1432"/>
      <c r="J244" s="1432"/>
      <c r="K244" s="1432"/>
      <c r="L244" s="150">
        <f t="shared" si="0"/>
        <v>4705</v>
      </c>
      <c r="M244" s="151" t="str">
        <f t="shared" si="1"/>
        <v>VTE - PIECE/ACC B.R. INTERNE VW</v>
      </c>
      <c r="N244" s="152">
        <f>+IF(OR($Q244=Parametres!$G$2,$Q244=Parametres!$G$3),I244,C244)</f>
        <v>-515664.8</v>
      </c>
      <c r="O244" s="152">
        <f>+IF(OR($Q244=Parametres!$G$2,$Q244=Parametres!$G$3),J244,D244)</f>
        <v>-65871.83</v>
      </c>
      <c r="P244" s="152">
        <f>+IF(OR($Q244=Parametres!$G$2,$Q244=Parametres!$G$3),K244,E244)</f>
        <v>-581536.63</v>
      </c>
      <c r="Q244" s="151" t="str">
        <f t="shared" si="17"/>
        <v>5-Ventes</v>
      </c>
      <c r="R244" s="150" t="str">
        <f t="shared" si="17"/>
        <v>4705</v>
      </c>
      <c r="S244" s="151">
        <f t="shared" si="17"/>
        <v>0</v>
      </c>
      <c r="T244" s="153">
        <f>+VLOOKUP($L244,Data_Validation!$A:$D,1,0)</f>
        <v>4705</v>
      </c>
      <c r="U244" s="153" t="str">
        <f>+VLOOKUP($L244,Data_Validation!$A:$D,3,0)</f>
        <v>Pièces</v>
      </c>
      <c r="V244" s="153" t="str">
        <f>+VLOOKUP($L244,Data_Validation!$A:$D,4,0)</f>
        <v>Ventes Internes</v>
      </c>
      <c r="W244" s="153" t="str">
        <f>+VLOOKUP($L244,Data_Validation!$A:$E,5,0)</f>
        <v>$</v>
      </c>
      <c r="X244" s="153" t="str">
        <f>+VLOOKUP($L244,Data_Validation!$A:$F,6,0)</f>
        <v>Oui</v>
      </c>
    </row>
    <row r="245" spans="1:24" ht="15" customHeight="1">
      <c r="A245" s="1430" t="s">
        <v>2533</v>
      </c>
      <c r="B245" s="1430" t="s">
        <v>2534</v>
      </c>
      <c r="C245" s="1432"/>
      <c r="D245" s="1432"/>
      <c r="E245" s="1432"/>
      <c r="F245" s="1430" t="s">
        <v>4</v>
      </c>
      <c r="G245" s="1430" t="s">
        <v>2041</v>
      </c>
      <c r="H245" s="1432"/>
      <c r="I245" s="1433">
        <v>-2727</v>
      </c>
      <c r="J245" s="1433">
        <v>-310</v>
      </c>
      <c r="K245" s="1433">
        <v>-3037</v>
      </c>
      <c r="L245" s="150" t="str">
        <f t="shared" si="0"/>
        <v>4705@</v>
      </c>
      <c r="M245" s="151" t="str">
        <f t="shared" si="1"/>
        <v>PIECES-BON REPARATION - INTERN</v>
      </c>
      <c r="N245" s="152">
        <f>+IF(OR($Q245=Parametres!$G$2,$Q245=Parametres!$G$3),I245,C245)</f>
        <v>-2727</v>
      </c>
      <c r="O245" s="152">
        <f>+IF(OR($Q245=Parametres!$G$2,$Q245=Parametres!$G$3),J245,D245)</f>
        <v>-310</v>
      </c>
      <c r="P245" s="152">
        <f>+IF(OR($Q245=Parametres!$G$2,$Q245=Parametres!$G$3),K245,E245)</f>
        <v>-3037</v>
      </c>
      <c r="Q245" s="151" t="str">
        <f t="shared" si="17"/>
        <v>10-Compte compteur</v>
      </c>
      <c r="R245" s="150" t="str">
        <f t="shared" si="17"/>
        <v>4705</v>
      </c>
      <c r="S245" s="151">
        <f t="shared" si="17"/>
        <v>0</v>
      </c>
      <c r="T245" s="153" t="str">
        <f>+VLOOKUP($L245,Data_Validation!$A:$D,1,0)</f>
        <v>4705@</v>
      </c>
      <c r="U245" s="153" t="str">
        <f>+VLOOKUP($L245,Data_Validation!$A:$D,3,0)</f>
        <v>Pièces</v>
      </c>
      <c r="V245" s="153" t="str">
        <f>+VLOOKUP($L245,Data_Validation!$A:$D,4,0)</f>
        <v>Ventes Internes</v>
      </c>
      <c r="W245" s="153" t="str">
        <f>+VLOOKUP($L245,Data_Validation!$A:$E,5,0)</f>
        <v>NB</v>
      </c>
      <c r="X245" s="153">
        <f>+VLOOKUP($L245,Data_Validation!$A:$F,6,0)</f>
        <v>0</v>
      </c>
    </row>
    <row r="246" spans="1:24" ht="15" customHeight="1">
      <c r="A246" s="1430" t="s">
        <v>2143</v>
      </c>
      <c r="B246" s="1431">
        <v>4706</v>
      </c>
      <c r="C246" s="1433">
        <v>-6567.14</v>
      </c>
      <c r="D246" s="1433">
        <v>-870.81</v>
      </c>
      <c r="E246" s="1433">
        <v>-7437.95</v>
      </c>
      <c r="F246" s="1430" t="s">
        <v>282</v>
      </c>
      <c r="G246" s="1430" t="s">
        <v>2162</v>
      </c>
      <c r="H246" s="1432"/>
      <c r="I246" s="1432"/>
      <c r="J246" s="1432"/>
      <c r="K246" s="1432"/>
      <c r="L246" s="150">
        <f t="shared" si="0"/>
        <v>4706</v>
      </c>
      <c r="M246" s="151" t="str">
        <f t="shared" si="1"/>
        <v>VTE - SHOP SUPPLY VW</v>
      </c>
      <c r="N246" s="152">
        <f>+IF(OR($Q246=Parametres!$G$2,$Q246=Parametres!$G$3),I246,C246)</f>
        <v>-6567.14</v>
      </c>
      <c r="O246" s="152">
        <f>+IF(OR($Q246=Parametres!$G$2,$Q246=Parametres!$G$3),J246,D246)</f>
        <v>-870.81</v>
      </c>
      <c r="P246" s="152">
        <f>+IF(OR($Q246=Parametres!$G$2,$Q246=Parametres!$G$3),K246,E246)</f>
        <v>-7437.95</v>
      </c>
      <c r="Q246" s="151" t="str">
        <f t="shared" si="17"/>
        <v>5-Ventes</v>
      </c>
      <c r="R246" s="150" t="str">
        <f t="shared" si="17"/>
        <v>4706</v>
      </c>
      <c r="S246" s="151">
        <f t="shared" si="17"/>
        <v>0</v>
      </c>
      <c r="T246" s="153">
        <f>+VLOOKUP($L246,Data_Validation!$A:$D,1,0)</f>
        <v>4706</v>
      </c>
      <c r="U246" s="153" t="str">
        <f>+VLOOKUP($L246,Data_Validation!$A:$D,3,0)</f>
        <v>Service</v>
      </c>
      <c r="V246" s="153" t="str">
        <f>+VLOOKUP($L246,Data_Validation!$A:$D,4,0)</f>
        <v>M/O Interne</v>
      </c>
      <c r="W246" s="153" t="str">
        <f>+VLOOKUP($L246,Data_Validation!$A:$E,5,0)</f>
        <v>$</v>
      </c>
      <c r="X246" s="153" t="str">
        <f>+VLOOKUP($L246,Data_Validation!$A:$F,6,0)</f>
        <v>Oui</v>
      </c>
    </row>
    <row r="247" spans="1:24" ht="15.75" customHeight="1">
      <c r="A247" s="1430" t="s">
        <v>2107</v>
      </c>
      <c r="B247" s="1431">
        <v>4711</v>
      </c>
      <c r="C247" s="1433">
        <v>-40579.18</v>
      </c>
      <c r="D247" s="1433">
        <v>-6585.61</v>
      </c>
      <c r="E247" s="1433">
        <v>-47164.79</v>
      </c>
      <c r="F247" s="1430" t="s">
        <v>282</v>
      </c>
      <c r="G247" s="1430" t="s">
        <v>332</v>
      </c>
      <c r="H247" s="1432"/>
      <c r="I247" s="1432"/>
      <c r="J247" s="1432"/>
      <c r="K247" s="1432"/>
      <c r="L247" s="150">
        <f t="shared" si="0"/>
        <v>4711</v>
      </c>
      <c r="M247" s="151" t="str">
        <f t="shared" si="1"/>
        <v>VTE - AUTRE PIECE/ACC/CARR B.R. CLIENT</v>
      </c>
      <c r="N247" s="152">
        <f>+IF(OR($Q247=Parametres!$G$2,$Q247=Parametres!$G$3),I247,C247)</f>
        <v>-40579.18</v>
      </c>
      <c r="O247" s="152">
        <f>+IF(OR($Q247=Parametres!$G$2,$Q247=Parametres!$G$3),J247,D247)</f>
        <v>-6585.61</v>
      </c>
      <c r="P247" s="152">
        <f>+IF(OR($Q247=Parametres!$G$2,$Q247=Parametres!$G$3),K247,E247)</f>
        <v>-47164.79</v>
      </c>
      <c r="Q247" s="151" t="str">
        <f t="shared" si="17"/>
        <v>5-Ventes</v>
      </c>
      <c r="R247" s="150" t="str">
        <f t="shared" si="17"/>
        <v>84711</v>
      </c>
      <c r="S247" s="151">
        <f t="shared" si="17"/>
        <v>0</v>
      </c>
      <c r="T247" s="153">
        <f>+VLOOKUP($L247,Data_Validation!$A:$D,1,0)</f>
        <v>4711</v>
      </c>
      <c r="U247" s="153" t="str">
        <f>+VLOOKUP($L247,Data_Validation!$A:$D,3,0)</f>
        <v>Pièces</v>
      </c>
      <c r="V247" s="153" t="str">
        <f>+VLOOKUP($L247,Data_Validation!$A:$D,4,0)</f>
        <v>Pièces Ro Clients</v>
      </c>
      <c r="W247" s="153" t="str">
        <f>+VLOOKUP($L247,Data_Validation!$A:$E,5,0)</f>
        <v>$</v>
      </c>
      <c r="X247" s="153" t="str">
        <f>+VLOOKUP($L247,Data_Validation!$A:$F,6,0)</f>
        <v>Oui</v>
      </c>
    </row>
    <row r="248" spans="1:24" ht="15" customHeight="1">
      <c r="A248" s="1430" t="s">
        <v>2535</v>
      </c>
      <c r="B248" s="1430" t="s">
        <v>2536</v>
      </c>
      <c r="C248" s="1432"/>
      <c r="D248" s="1432"/>
      <c r="E248" s="1432"/>
      <c r="F248" s="1430" t="s">
        <v>4</v>
      </c>
      <c r="G248" s="1430" t="s">
        <v>332</v>
      </c>
      <c r="H248" s="1432"/>
      <c r="I248" s="1433">
        <v>-1268</v>
      </c>
      <c r="J248" s="1433">
        <v>-194</v>
      </c>
      <c r="K248" s="1433">
        <v>-1462</v>
      </c>
      <c r="L248" s="150" t="str">
        <f t="shared" si="0"/>
        <v>4711@</v>
      </c>
      <c r="M248" s="151" t="str">
        <f t="shared" si="1"/>
        <v># DE VTE - P&amp;A B.T. CLIENT AUDI</v>
      </c>
      <c r="N248" s="152">
        <f>+IF(OR($Q248=Parametres!$G$2,$Q248=Parametres!$G$3),I248,C248)</f>
        <v>-1268</v>
      </c>
      <c r="O248" s="152">
        <f>+IF(OR($Q248=Parametres!$G$2,$Q248=Parametres!$G$3),J248,D248)</f>
        <v>-194</v>
      </c>
      <c r="P248" s="152">
        <f>+IF(OR($Q248=Parametres!$G$2,$Q248=Parametres!$G$3),K248,E248)</f>
        <v>-1462</v>
      </c>
      <c r="Q248" s="151" t="str">
        <f t="shared" si="17"/>
        <v>10-Compte compteur</v>
      </c>
      <c r="R248" s="150" t="str">
        <f t="shared" si="17"/>
        <v>84711</v>
      </c>
      <c r="S248" s="151">
        <f t="shared" si="17"/>
        <v>0</v>
      </c>
      <c r="T248" s="153" t="str">
        <f>+VLOOKUP($L248,Data_Validation!$A:$D,1,0)</f>
        <v>4711@</v>
      </c>
      <c r="U248" s="153" t="str">
        <f>+VLOOKUP($L248,Data_Validation!$A:$D,3,0)</f>
        <v>Pièces</v>
      </c>
      <c r="V248" s="153" t="str">
        <f>+VLOOKUP($L248,Data_Validation!$A:$D,4,0)</f>
        <v>Pièces Ro Clients</v>
      </c>
      <c r="W248" s="153" t="str">
        <f>+VLOOKUP($L248,Data_Validation!$A:$E,5,0)</f>
        <v>NB</v>
      </c>
      <c r="X248" s="153">
        <f>+VLOOKUP($L248,Data_Validation!$A:$F,6,0)</f>
        <v>0</v>
      </c>
    </row>
    <row r="249" spans="1:24" ht="15" customHeight="1">
      <c r="A249" s="1430" t="s">
        <v>2914</v>
      </c>
      <c r="B249" s="1431">
        <v>4715</v>
      </c>
      <c r="C249" s="1433">
        <v>16</v>
      </c>
      <c r="D249" s="1433">
        <v>0</v>
      </c>
      <c r="E249" s="1433">
        <v>16</v>
      </c>
      <c r="F249" s="1430" t="s">
        <v>282</v>
      </c>
      <c r="G249" s="1430" t="s">
        <v>3611</v>
      </c>
      <c r="H249" s="1432"/>
      <c r="I249" s="1432"/>
      <c r="J249" s="1432"/>
      <c r="K249" s="1432"/>
      <c r="L249" s="150">
        <f t="shared" si="0"/>
        <v>4715</v>
      </c>
      <c r="M249" s="151" t="str">
        <f t="shared" si="1"/>
        <v>VTE - AUTRE PIECE/ACC/CARR B.R. INTERNE</v>
      </c>
      <c r="N249" s="152">
        <f>+IF(OR($Q249=Parametres!$G$2,$Q249=Parametres!$G$3),I249,C249)</f>
        <v>16</v>
      </c>
      <c r="O249" s="152">
        <f>+IF(OR($Q249=Parametres!$G$2,$Q249=Parametres!$G$3),J249,D249)</f>
        <v>0</v>
      </c>
      <c r="P249" s="152">
        <f>+IF(OR($Q249=Parametres!$G$2,$Q249=Parametres!$G$3),K249,E249)</f>
        <v>16</v>
      </c>
      <c r="Q249" s="151" t="str">
        <f t="shared" si="17"/>
        <v>5-Ventes</v>
      </c>
      <c r="R249" s="150" t="str">
        <f t="shared" si="17"/>
        <v>4715</v>
      </c>
      <c r="S249" s="151">
        <f t="shared" si="17"/>
        <v>0</v>
      </c>
      <c r="T249" s="153">
        <f>+VLOOKUP($L249,Data_Validation!$A:$D,1,0)</f>
        <v>4715</v>
      </c>
      <c r="U249" s="153" t="str">
        <f>+VLOOKUP($L249,Data_Validation!$A:$D,3,0)</f>
        <v>Pièces</v>
      </c>
      <c r="V249" s="153" t="str">
        <f>+VLOOKUP($L249,Data_Validation!$A:$D,4,0)</f>
        <v>Ventes Internes</v>
      </c>
      <c r="W249" s="153" t="str">
        <f>+VLOOKUP($L249,Data_Validation!$A:$E,5,0)</f>
        <v>$</v>
      </c>
      <c r="X249" s="153" t="str">
        <f>+VLOOKUP($L249,Data_Validation!$A:$F,6,0)</f>
        <v>Oui</v>
      </c>
    </row>
    <row r="250" spans="1:24" ht="15" customHeight="1">
      <c r="A250" s="1430" t="s">
        <v>2915</v>
      </c>
      <c r="B250" s="1430" t="s">
        <v>2916</v>
      </c>
      <c r="C250" s="1432"/>
      <c r="D250" s="1432"/>
      <c r="E250" s="1432"/>
      <c r="F250" s="1430" t="s">
        <v>4</v>
      </c>
      <c r="G250" s="1430" t="s">
        <v>341</v>
      </c>
      <c r="H250" s="1432"/>
      <c r="I250" s="1433">
        <v>1</v>
      </c>
      <c r="J250" s="1433">
        <v>0</v>
      </c>
      <c r="K250" s="1433">
        <v>1</v>
      </c>
      <c r="L250" s="150" t="str">
        <f t="shared" si="0"/>
        <v>4715@</v>
      </c>
      <c r="M250" s="151" t="str">
        <f t="shared" si="1"/>
        <v># DE VTE - P&amp;A B.T. INTERNE AUDI</v>
      </c>
      <c r="N250" s="152">
        <f>+IF(OR($Q250=Parametres!$G$2,$Q250=Parametres!$G$3),I250,C250)</f>
        <v>1</v>
      </c>
      <c r="O250" s="152">
        <f>+IF(OR($Q250=Parametres!$G$2,$Q250=Parametres!$G$3),J250,D250)</f>
        <v>0</v>
      </c>
      <c r="P250" s="152">
        <f>+IF(OR($Q250=Parametres!$G$2,$Q250=Parametres!$G$3),K250,E250)</f>
        <v>1</v>
      </c>
      <c r="Q250" s="151" t="str">
        <f t="shared" si="17"/>
        <v>10-Compte compteur</v>
      </c>
      <c r="R250" s="150" t="str">
        <f t="shared" si="17"/>
        <v>84715</v>
      </c>
      <c r="S250" s="151">
        <f t="shared" si="17"/>
        <v>0</v>
      </c>
      <c r="T250" s="153" t="str">
        <f>+VLOOKUP($L250,Data_Validation!$A:$D,1,0)</f>
        <v>4715@</v>
      </c>
      <c r="U250" s="153" t="str">
        <f>+VLOOKUP($L250,Data_Validation!$A:$D,3,0)</f>
        <v>Pièces</v>
      </c>
      <c r="V250" s="153" t="str">
        <f>+VLOOKUP($L250,Data_Validation!$A:$D,4,0)</f>
        <v>Ventes Internes</v>
      </c>
      <c r="W250" s="153" t="str">
        <f>+VLOOKUP($L250,Data_Validation!$A:$E,5,0)</f>
        <v>NB</v>
      </c>
      <c r="X250" s="153">
        <f>+VLOOKUP($L250,Data_Validation!$A:$F,6,0)</f>
        <v>0</v>
      </c>
    </row>
    <row r="251" spans="1:24" ht="15" customHeight="1">
      <c r="A251" s="1430" t="s">
        <v>2100</v>
      </c>
      <c r="B251" s="1431">
        <v>4731</v>
      </c>
      <c r="C251" s="1433">
        <v>-85329.71</v>
      </c>
      <c r="D251" s="1433">
        <v>-3147.39</v>
      </c>
      <c r="E251" s="1433">
        <v>-88477.1</v>
      </c>
      <c r="F251" s="1430" t="s">
        <v>282</v>
      </c>
      <c r="G251" s="1430" t="s">
        <v>2101</v>
      </c>
      <c r="H251" s="1432"/>
      <c r="I251" s="1432"/>
      <c r="J251" s="1432"/>
      <c r="K251" s="1432"/>
      <c r="L251" s="150">
        <f t="shared" si="0"/>
        <v>4731</v>
      </c>
      <c r="M251" s="151" t="str">
        <f t="shared" si="1"/>
        <v>VTE - PIECES-BON REPAR.-PEINT/DEBOS</v>
      </c>
      <c r="N251" s="152">
        <f>+IF(OR($Q251=Parametres!$G$2,$Q251=Parametres!$G$3),I251,C251)</f>
        <v>-85329.71</v>
      </c>
      <c r="O251" s="152">
        <f>+IF(OR($Q251=Parametres!$G$2,$Q251=Parametres!$G$3),J251,D251)</f>
        <v>-3147.39</v>
      </c>
      <c r="P251" s="152">
        <f>+IF(OR($Q251=Parametres!$G$2,$Q251=Parametres!$G$3),K251,E251)</f>
        <v>-88477.1</v>
      </c>
      <c r="Q251" s="151" t="str">
        <f t="shared" si="17"/>
        <v>5-Ventes</v>
      </c>
      <c r="R251" s="150" t="str">
        <f t="shared" si="17"/>
        <v>4731</v>
      </c>
      <c r="S251" s="151">
        <f t="shared" si="17"/>
        <v>0</v>
      </c>
      <c r="T251" s="153">
        <f>+VLOOKUP($L251,Data_Validation!$A:$D,1,0)</f>
        <v>4731</v>
      </c>
      <c r="U251" s="153" t="str">
        <f>+VLOOKUP($L251,Data_Validation!$A:$D,3,0)</f>
        <v>Pièces</v>
      </c>
      <c r="V251" s="153" t="str">
        <f>+VLOOKUP($L251,Data_Validation!$A:$D,4,0)</f>
        <v>Pièces Ro Carrosserie</v>
      </c>
      <c r="W251" s="153" t="str">
        <f>+VLOOKUP($L251,Data_Validation!$A:$E,5,0)</f>
        <v>$</v>
      </c>
      <c r="X251" s="153" t="str">
        <f>+VLOOKUP($L251,Data_Validation!$A:$F,6,0)</f>
        <v>Oui</v>
      </c>
    </row>
    <row r="252" spans="1:24" ht="15.75" customHeight="1">
      <c r="A252" s="1430" t="s">
        <v>2539</v>
      </c>
      <c r="B252" s="1430" t="s">
        <v>2540</v>
      </c>
      <c r="C252" s="1432"/>
      <c r="D252" s="1432"/>
      <c r="E252" s="1432"/>
      <c r="F252" s="1430" t="s">
        <v>4</v>
      </c>
      <c r="G252" s="1430" t="s">
        <v>2101</v>
      </c>
      <c r="H252" s="1432"/>
      <c r="I252" s="1433">
        <v>-99</v>
      </c>
      <c r="J252" s="1433">
        <v>-6</v>
      </c>
      <c r="K252" s="1433">
        <v>-105</v>
      </c>
      <c r="L252" s="150" t="str">
        <f t="shared" si="0"/>
        <v>4731@</v>
      </c>
      <c r="M252" s="151" t="str">
        <f t="shared" si="1"/>
        <v>PIECES-BON REPAR. PEINT/DEBOS</v>
      </c>
      <c r="N252" s="152">
        <f>+IF(OR($Q252=Parametres!$G$2,$Q252=Parametres!$G$3),I252,C252)</f>
        <v>-99</v>
      </c>
      <c r="O252" s="152">
        <f>+IF(OR($Q252=Parametres!$G$2,$Q252=Parametres!$G$3),J252,D252)</f>
        <v>-6</v>
      </c>
      <c r="P252" s="152">
        <f>+IF(OR($Q252=Parametres!$G$2,$Q252=Parametres!$G$3),K252,E252)</f>
        <v>-105</v>
      </c>
      <c r="Q252" s="151" t="str">
        <f t="shared" si="17"/>
        <v>10-Compte compteur</v>
      </c>
      <c r="R252" s="150" t="str">
        <f t="shared" si="17"/>
        <v>4731</v>
      </c>
      <c r="S252" s="151">
        <f t="shared" si="17"/>
        <v>0</v>
      </c>
      <c r="T252" s="153" t="str">
        <f>+VLOOKUP($L252,Data_Validation!$A:$D,1,0)</f>
        <v>4731@</v>
      </c>
      <c r="U252" s="153" t="str">
        <f>+VLOOKUP($L252,Data_Validation!$A:$D,3,0)</f>
        <v>Pièces</v>
      </c>
      <c r="V252" s="153" t="str">
        <f>+VLOOKUP($L252,Data_Validation!$A:$D,4,0)</f>
        <v>Pièces Ro Carrosserie</v>
      </c>
      <c r="W252" s="153" t="str">
        <f>+VLOOKUP($L252,Data_Validation!$A:$E,5,0)</f>
        <v>NB</v>
      </c>
      <c r="X252" s="153">
        <f>+VLOOKUP($L252,Data_Validation!$A:$F,6,0)</f>
        <v>0</v>
      </c>
    </row>
    <row r="253" spans="1:24" ht="15" customHeight="1">
      <c r="A253" s="1430" t="s">
        <v>2083</v>
      </c>
      <c r="B253" s="1431">
        <v>4733</v>
      </c>
      <c r="C253" s="1433">
        <v>-350080.74</v>
      </c>
      <c r="D253" s="1433">
        <v>-47483.79</v>
      </c>
      <c r="E253" s="1433">
        <v>-397564.53</v>
      </c>
      <c r="F253" s="1430" t="s">
        <v>282</v>
      </c>
      <c r="G253" s="1430" t="s">
        <v>2084</v>
      </c>
      <c r="H253" s="1432"/>
      <c r="I253" s="1432"/>
      <c r="J253" s="1432"/>
      <c r="K253" s="1432"/>
      <c r="L253" s="150">
        <f t="shared" si="0"/>
        <v>4733</v>
      </c>
      <c r="M253" s="151" t="str">
        <f t="shared" si="1"/>
        <v>VTE - P&amp;A B.T. GARANTIE CAR.</v>
      </c>
      <c r="N253" s="152">
        <f>+IF(OR($Q253=Parametres!$G$2,$Q253=Parametres!$G$3),I253,C253)</f>
        <v>-350080.74</v>
      </c>
      <c r="O253" s="152">
        <f>+IF(OR($Q253=Parametres!$G$2,$Q253=Parametres!$G$3),J253,D253)</f>
        <v>-47483.79</v>
      </c>
      <c r="P253" s="152">
        <f>+IF(OR($Q253=Parametres!$G$2,$Q253=Parametres!$G$3),K253,E253)</f>
        <v>-397564.53</v>
      </c>
      <c r="Q253" s="151" t="str">
        <f t="shared" si="17"/>
        <v>5-Ventes</v>
      </c>
      <c r="R253" s="150" t="str">
        <f t="shared" si="17"/>
        <v>4733</v>
      </c>
      <c r="S253" s="151">
        <f t="shared" si="17"/>
        <v>0</v>
      </c>
      <c r="T253" s="153">
        <f>+VLOOKUP($L253,Data_Validation!$A:$D,1,0)</f>
        <v>4733</v>
      </c>
      <c r="U253" s="153" t="str">
        <f>+VLOOKUP($L253,Data_Validation!$A:$D,3,0)</f>
        <v>Pièces</v>
      </c>
      <c r="V253" s="153" t="str">
        <f>+VLOOKUP($L253,Data_Validation!$A:$D,4,0)</f>
        <v>Pièces Ro Carrosserie</v>
      </c>
      <c r="W253" s="153" t="str">
        <f>+VLOOKUP($L253,Data_Validation!$A:$E,5,0)</f>
        <v>$</v>
      </c>
      <c r="X253" s="153" t="str">
        <f>+VLOOKUP($L253,Data_Validation!$A:$F,6,0)</f>
        <v>Oui</v>
      </c>
    </row>
    <row r="254" spans="1:24" ht="15" customHeight="1">
      <c r="A254" s="1430" t="s">
        <v>2541</v>
      </c>
      <c r="B254" s="1430" t="s">
        <v>2542</v>
      </c>
      <c r="C254" s="1432"/>
      <c r="D254" s="1432"/>
      <c r="E254" s="1432"/>
      <c r="F254" s="1430" t="s">
        <v>4</v>
      </c>
      <c r="G254" s="1430" t="s">
        <v>2084</v>
      </c>
      <c r="H254" s="1432"/>
      <c r="I254" s="1433">
        <v>-180</v>
      </c>
      <c r="J254" s="1433">
        <v>-21</v>
      </c>
      <c r="K254" s="1433">
        <v>-201</v>
      </c>
      <c r="L254" s="150" t="str">
        <f t="shared" si="0"/>
        <v>4733@</v>
      </c>
      <c r="M254" s="151" t="str">
        <f t="shared" si="1"/>
        <v># DE VTE - P&amp;A B.T. GARANTIE CARR.</v>
      </c>
      <c r="N254" s="152">
        <f>+IF(OR($Q254=Parametres!$G$2,$Q254=Parametres!$G$3),I254,C254)</f>
        <v>-180</v>
      </c>
      <c r="O254" s="152">
        <f>+IF(OR($Q254=Parametres!$G$2,$Q254=Parametres!$G$3),J254,D254)</f>
        <v>-21</v>
      </c>
      <c r="P254" s="152">
        <f>+IF(OR($Q254=Parametres!$G$2,$Q254=Parametres!$G$3),K254,E254)</f>
        <v>-201</v>
      </c>
      <c r="Q254" s="151" t="str">
        <f t="shared" si="17"/>
        <v>10-Compte compteur</v>
      </c>
      <c r="R254" s="150" t="str">
        <f t="shared" si="17"/>
        <v>4733</v>
      </c>
      <c r="S254" s="151">
        <f t="shared" si="17"/>
        <v>0</v>
      </c>
      <c r="T254" s="153" t="str">
        <f>+VLOOKUP($L254,Data_Validation!$A:$D,1,0)</f>
        <v>4733@</v>
      </c>
      <c r="U254" s="153" t="str">
        <f>+VLOOKUP($L254,Data_Validation!$A:$D,3,0)</f>
        <v>Pièces</v>
      </c>
      <c r="V254" s="153" t="str">
        <f>+VLOOKUP($L254,Data_Validation!$A:$D,4,0)</f>
        <v>Pièces Ro Carrosserie</v>
      </c>
      <c r="W254" s="153" t="str">
        <f>+VLOOKUP($L254,Data_Validation!$A:$E,5,0)</f>
        <v>NB</v>
      </c>
      <c r="X254" s="153">
        <f>+VLOOKUP($L254,Data_Validation!$A:$F,6,0)</f>
        <v>0</v>
      </c>
    </row>
    <row r="255" spans="1:24" ht="15" customHeight="1">
      <c r="A255" s="1430" t="s">
        <v>2158</v>
      </c>
      <c r="B255" s="1431">
        <v>4735</v>
      </c>
      <c r="C255" s="1433">
        <v>-12715.09</v>
      </c>
      <c r="D255" s="1433">
        <v>-1572.31</v>
      </c>
      <c r="E255" s="1433">
        <v>-14287.4</v>
      </c>
      <c r="F255" s="1430" t="s">
        <v>282</v>
      </c>
      <c r="G255" s="1430" t="s">
        <v>2159</v>
      </c>
      <c r="H255" s="1432"/>
      <c r="I255" s="1432"/>
      <c r="J255" s="1432"/>
      <c r="K255" s="1432"/>
      <c r="L255" s="150">
        <f t="shared" si="0"/>
        <v>4735</v>
      </c>
      <c r="M255" s="151" t="str">
        <f t="shared" si="1"/>
        <v>VTE - P&amp;A B.T. INTERNE CARROS.</v>
      </c>
      <c r="N255" s="152">
        <f>+IF(OR($Q255=Parametres!$G$2,$Q255=Parametres!$G$3),I255,C255)</f>
        <v>-12715.09</v>
      </c>
      <c r="O255" s="152">
        <f>+IF(OR($Q255=Parametres!$G$2,$Q255=Parametres!$G$3),J255,D255)</f>
        <v>-1572.31</v>
      </c>
      <c r="P255" s="152">
        <f>+IF(OR($Q255=Parametres!$G$2,$Q255=Parametres!$G$3),K255,E255)</f>
        <v>-14287.4</v>
      </c>
      <c r="Q255" s="151" t="str">
        <f t="shared" si="17"/>
        <v>5-Ventes</v>
      </c>
      <c r="R255" s="150" t="str">
        <f t="shared" si="17"/>
        <v>4735</v>
      </c>
      <c r="S255" s="151">
        <f t="shared" si="17"/>
        <v>0</v>
      </c>
      <c r="T255" s="153">
        <f>+VLOOKUP($L255,Data_Validation!$A:$D,1,0)</f>
        <v>4735</v>
      </c>
      <c r="U255" s="153" t="str">
        <f>+VLOOKUP($L255,Data_Validation!$A:$D,3,0)</f>
        <v>Pièces</v>
      </c>
      <c r="V255" s="153" t="str">
        <f>+VLOOKUP($L255,Data_Validation!$A:$D,4,0)</f>
        <v>Pièces Ro Carrosserie</v>
      </c>
      <c r="W255" s="153" t="str">
        <f>+VLOOKUP($L255,Data_Validation!$A:$E,5,0)</f>
        <v>$</v>
      </c>
      <c r="X255" s="153" t="str">
        <f>+VLOOKUP($L255,Data_Validation!$A:$F,6,0)</f>
        <v>Oui</v>
      </c>
    </row>
    <row r="256" spans="1:24" ht="15.75" customHeight="1">
      <c r="A256" s="1430" t="s">
        <v>2543</v>
      </c>
      <c r="B256" s="1430" t="s">
        <v>2544</v>
      </c>
      <c r="C256" s="1432"/>
      <c r="D256" s="1432"/>
      <c r="E256" s="1432"/>
      <c r="F256" s="1430" t="s">
        <v>4</v>
      </c>
      <c r="G256" s="1430" t="s">
        <v>2159</v>
      </c>
      <c r="H256" s="1432"/>
      <c r="I256" s="1433">
        <v>-46</v>
      </c>
      <c r="J256" s="1433">
        <v>-7</v>
      </c>
      <c r="K256" s="1433">
        <v>-53</v>
      </c>
      <c r="L256" s="150" t="str">
        <f t="shared" si="0"/>
        <v>4735@</v>
      </c>
      <c r="M256" s="151" t="str">
        <f t="shared" si="1"/>
        <v># DE VTE - P&amp;A B.T. INTERNE CARROS.</v>
      </c>
      <c r="N256" s="152">
        <f>+IF(OR($Q256=Parametres!$G$2,$Q256=Parametres!$G$3),I256,C256)</f>
        <v>-46</v>
      </c>
      <c r="O256" s="152">
        <f>+IF(OR($Q256=Parametres!$G$2,$Q256=Parametres!$G$3),J256,D256)</f>
        <v>-7</v>
      </c>
      <c r="P256" s="152">
        <f>+IF(OR($Q256=Parametres!$G$2,$Q256=Parametres!$G$3),K256,E256)</f>
        <v>-53</v>
      </c>
      <c r="Q256" s="151" t="str">
        <f t="shared" si="17"/>
        <v>10-Compte compteur</v>
      </c>
      <c r="R256" s="150" t="str">
        <f t="shared" si="17"/>
        <v>4735</v>
      </c>
      <c r="S256" s="151">
        <f t="shared" si="17"/>
        <v>0</v>
      </c>
      <c r="T256" s="153" t="str">
        <f>+VLOOKUP($L256,Data_Validation!$A:$D,1,0)</f>
        <v>4735@</v>
      </c>
      <c r="U256" s="153" t="str">
        <f>+VLOOKUP($L256,Data_Validation!$A:$D,3,0)</f>
        <v>Pièces</v>
      </c>
      <c r="V256" s="153" t="str">
        <f>+VLOOKUP($L256,Data_Validation!$A:$D,4,0)</f>
        <v>Pièces Ro Carrosserie</v>
      </c>
      <c r="W256" s="153" t="str">
        <f>+VLOOKUP($L256,Data_Validation!$A:$E,5,0)</f>
        <v>NB</v>
      </c>
      <c r="X256" s="153">
        <f>+VLOOKUP($L256,Data_Validation!$A:$F,6,0)</f>
        <v>0</v>
      </c>
    </row>
    <row r="257" spans="1:24" ht="15" customHeight="1">
      <c r="A257" s="1430" t="s">
        <v>2075</v>
      </c>
      <c r="B257" s="1431">
        <v>4761</v>
      </c>
      <c r="C257" s="1433">
        <v>-163325.26</v>
      </c>
      <c r="D257" s="1433">
        <v>-17757.8</v>
      </c>
      <c r="E257" s="1433">
        <v>-181083.06</v>
      </c>
      <c r="F257" s="1430" t="s">
        <v>282</v>
      </c>
      <c r="G257" s="1430" t="s">
        <v>2076</v>
      </c>
      <c r="H257" s="1432"/>
      <c r="I257" s="1432"/>
      <c r="J257" s="1432"/>
      <c r="K257" s="1432"/>
      <c r="L257" s="150">
        <f t="shared" ref="L257:L511" si="18">+B257</f>
        <v>4761</v>
      </c>
      <c r="M257" s="151" t="str">
        <f t="shared" ref="M257:M511" si="19">+A257</f>
        <v>VTE - P&amp;A VW COMPTOIR - DETAIL</v>
      </c>
      <c r="N257" s="152">
        <f>+IF(OR($Q257=Parametres!$G$2,$Q257=Parametres!$G$3),I257,C257)</f>
        <v>-163325.26</v>
      </c>
      <c r="O257" s="152">
        <f>+IF(OR($Q257=Parametres!$G$2,$Q257=Parametres!$G$3),J257,D257)</f>
        <v>-17757.8</v>
      </c>
      <c r="P257" s="152">
        <f>+IF(OR($Q257=Parametres!$G$2,$Q257=Parametres!$G$3),K257,E257)</f>
        <v>-181083.06</v>
      </c>
      <c r="Q257" s="151" t="str">
        <f t="shared" si="17"/>
        <v>5-Ventes</v>
      </c>
      <c r="R257" s="150" t="str">
        <f t="shared" si="17"/>
        <v>4761</v>
      </c>
      <c r="S257" s="151">
        <f t="shared" si="17"/>
        <v>0</v>
      </c>
      <c r="T257" s="153">
        <f>+VLOOKUP($L257,Data_Validation!$A:$D,1,0)</f>
        <v>4761</v>
      </c>
      <c r="U257" s="153" t="str">
        <f>+VLOOKUP($L257,Data_Validation!$A:$D,3,0)</f>
        <v>Pièces</v>
      </c>
      <c r="V257" s="153" t="str">
        <f>+VLOOKUP($L257,Data_Validation!$A:$D,4,0)</f>
        <v>Ventes Détails</v>
      </c>
      <c r="W257" s="153" t="str">
        <f>+VLOOKUP($L257,Data_Validation!$A:$E,5,0)</f>
        <v>$</v>
      </c>
      <c r="X257" s="153" t="str">
        <f>+VLOOKUP($L257,Data_Validation!$A:$F,6,0)</f>
        <v>Oui</v>
      </c>
    </row>
    <row r="258" spans="1:24" ht="15" customHeight="1">
      <c r="A258" s="1430" t="s">
        <v>2545</v>
      </c>
      <c r="B258" s="1430" t="s">
        <v>2546</v>
      </c>
      <c r="C258" s="1432"/>
      <c r="D258" s="1432"/>
      <c r="E258" s="1432"/>
      <c r="F258" s="1430" t="s">
        <v>4</v>
      </c>
      <c r="G258" s="1430" t="s">
        <v>2076</v>
      </c>
      <c r="H258" s="1432"/>
      <c r="I258" s="1433">
        <v>-1604</v>
      </c>
      <c r="J258" s="1433">
        <v>-192</v>
      </c>
      <c r="K258" s="1433">
        <v>-1796</v>
      </c>
      <c r="L258" s="150" t="str">
        <f t="shared" si="18"/>
        <v>4761@</v>
      </c>
      <c r="M258" s="151" t="str">
        <f t="shared" si="19"/>
        <v>PIECES-COMPTOIR-DETAIL</v>
      </c>
      <c r="N258" s="152">
        <f>+IF(OR($Q258=Parametres!$G$2,$Q258=Parametres!$G$3),I258,C258)</f>
        <v>-1604</v>
      </c>
      <c r="O258" s="152">
        <f>+IF(OR($Q258=Parametres!$G$2,$Q258=Parametres!$G$3),J258,D258)</f>
        <v>-192</v>
      </c>
      <c r="P258" s="152">
        <f>+IF(OR($Q258=Parametres!$G$2,$Q258=Parametres!$G$3),K258,E258)</f>
        <v>-1796</v>
      </c>
      <c r="Q258" s="151" t="str">
        <f t="shared" ref="Q258:S273" si="20">+F258</f>
        <v>10-Compte compteur</v>
      </c>
      <c r="R258" s="150" t="str">
        <f t="shared" si="20"/>
        <v>4761</v>
      </c>
      <c r="S258" s="151">
        <f t="shared" si="20"/>
        <v>0</v>
      </c>
      <c r="T258" s="153" t="str">
        <f>+VLOOKUP($L258,Data_Validation!$A:$D,1,0)</f>
        <v>4761@</v>
      </c>
      <c r="U258" s="153" t="str">
        <f>+VLOOKUP($L258,Data_Validation!$A:$D,3,0)</f>
        <v>Pièces</v>
      </c>
      <c r="V258" s="153" t="str">
        <f>+VLOOKUP($L258,Data_Validation!$A:$D,4,0)</f>
        <v>Ventes Détails</v>
      </c>
      <c r="W258" s="153" t="str">
        <f>+VLOOKUP($L258,Data_Validation!$A:$E,5,0)</f>
        <v>NB</v>
      </c>
      <c r="X258" s="153">
        <f>+VLOOKUP($L258,Data_Validation!$A:$F,6,0)</f>
        <v>0</v>
      </c>
    </row>
    <row r="259" spans="1:24" ht="15" customHeight="1">
      <c r="A259" s="1430" t="s">
        <v>2038</v>
      </c>
      <c r="B259" s="1431">
        <v>4763</v>
      </c>
      <c r="C259" s="1433">
        <v>-489577.03</v>
      </c>
      <c r="D259" s="1433">
        <v>-66382.19</v>
      </c>
      <c r="E259" s="1433">
        <v>-555959.22</v>
      </c>
      <c r="F259" s="1430" t="s">
        <v>282</v>
      </c>
      <c r="G259" s="1430" t="s">
        <v>2039</v>
      </c>
      <c r="H259" s="1432"/>
      <c r="I259" s="1432"/>
      <c r="J259" s="1432"/>
      <c r="K259" s="1432"/>
      <c r="L259" s="150">
        <f t="shared" si="18"/>
        <v>4763</v>
      </c>
      <c r="M259" s="151" t="str">
        <f t="shared" si="19"/>
        <v>VTE - P&amp;A VW COMPTOIR GROS - ECHANGE</v>
      </c>
      <c r="N259" s="152">
        <f>+IF(OR($Q259=Parametres!$G$2,$Q259=Parametres!$G$3),I259,C259)</f>
        <v>-489577.03</v>
      </c>
      <c r="O259" s="152">
        <f>+IF(OR($Q259=Parametres!$G$2,$Q259=Parametres!$G$3),J259,D259)</f>
        <v>-66382.19</v>
      </c>
      <c r="P259" s="152">
        <f>+IF(OR($Q259=Parametres!$G$2,$Q259=Parametres!$G$3),K259,E259)</f>
        <v>-555959.22</v>
      </c>
      <c r="Q259" s="151" t="str">
        <f t="shared" si="20"/>
        <v>5-Ventes</v>
      </c>
      <c r="R259" s="150" t="str">
        <f t="shared" si="20"/>
        <v>4763</v>
      </c>
      <c r="S259" s="151">
        <f t="shared" si="20"/>
        <v>0</v>
      </c>
      <c r="T259" s="153">
        <f>+VLOOKUP($L259,Data_Validation!$A:$D,1,0)</f>
        <v>4763</v>
      </c>
      <c r="U259" s="153" t="str">
        <f>+VLOOKUP($L259,Data_Validation!$A:$D,3,0)</f>
        <v>Pièces</v>
      </c>
      <c r="V259" s="153" t="str">
        <f>+VLOOKUP($L259,Data_Validation!$A:$D,4,0)</f>
        <v>Ventes de Gros</v>
      </c>
      <c r="W259" s="153" t="str">
        <f>+VLOOKUP($L259,Data_Validation!$A:$E,5,0)</f>
        <v>$</v>
      </c>
      <c r="X259" s="153" t="str">
        <f>+VLOOKUP($L259,Data_Validation!$A:$F,6,0)</f>
        <v>Oui</v>
      </c>
    </row>
    <row r="260" spans="1:24" ht="15" customHeight="1">
      <c r="A260" s="1430" t="s">
        <v>2547</v>
      </c>
      <c r="B260" s="1430" t="s">
        <v>2548</v>
      </c>
      <c r="C260" s="1432"/>
      <c r="D260" s="1432"/>
      <c r="E260" s="1432"/>
      <c r="F260" s="1430" t="s">
        <v>4</v>
      </c>
      <c r="G260" s="1430" t="s">
        <v>2039</v>
      </c>
      <c r="H260" s="1432"/>
      <c r="I260" s="1433">
        <v>-1958</v>
      </c>
      <c r="J260" s="1433">
        <v>-218</v>
      </c>
      <c r="K260" s="1433">
        <v>-2176</v>
      </c>
      <c r="L260" s="150" t="str">
        <f t="shared" si="18"/>
        <v>4763@</v>
      </c>
      <c r="M260" s="151" t="str">
        <f t="shared" si="19"/>
        <v>PIECES-COMPTOIR-COMM. GROS</v>
      </c>
      <c r="N260" s="152">
        <f>+IF(OR($Q260=Parametres!$G$2,$Q260=Parametres!$G$3),I260,C260)</f>
        <v>-1958</v>
      </c>
      <c r="O260" s="152">
        <f>+IF(OR($Q260=Parametres!$G$2,$Q260=Parametres!$G$3),J260,D260)</f>
        <v>-218</v>
      </c>
      <c r="P260" s="152">
        <f>+IF(OR($Q260=Parametres!$G$2,$Q260=Parametres!$G$3),K260,E260)</f>
        <v>-2176</v>
      </c>
      <c r="Q260" s="151" t="str">
        <f t="shared" si="20"/>
        <v>10-Compte compteur</v>
      </c>
      <c r="R260" s="150" t="str">
        <f t="shared" si="20"/>
        <v>4763</v>
      </c>
      <c r="S260" s="151">
        <f t="shared" si="20"/>
        <v>0</v>
      </c>
      <c r="T260" s="153" t="str">
        <f>+VLOOKUP($L260,Data_Validation!$A:$D,1,0)</f>
        <v>4763@</v>
      </c>
      <c r="U260" s="153" t="str">
        <f>+VLOOKUP($L260,Data_Validation!$A:$D,3,0)</f>
        <v>Pièces</v>
      </c>
      <c r="V260" s="153" t="str">
        <f>+VLOOKUP($L260,Data_Validation!$A:$D,4,0)</f>
        <v>Ventes de Gros</v>
      </c>
      <c r="W260" s="153" t="str">
        <f>+VLOOKUP($L260,Data_Validation!$A:$E,5,0)</f>
        <v>NB</v>
      </c>
      <c r="X260" s="153">
        <f>+VLOOKUP($L260,Data_Validation!$A:$F,6,0)</f>
        <v>0</v>
      </c>
    </row>
    <row r="261" spans="1:24" ht="15" customHeight="1">
      <c r="A261" s="1430" t="s">
        <v>2027</v>
      </c>
      <c r="B261" s="1431">
        <v>4781</v>
      </c>
      <c r="C261" s="1433">
        <v>-339619.57</v>
      </c>
      <c r="D261" s="1433">
        <v>-122205.07</v>
      </c>
      <c r="E261" s="1433">
        <v>-461824.64</v>
      </c>
      <c r="F261" s="1430" t="s">
        <v>282</v>
      </c>
      <c r="G261" s="1430" t="s">
        <v>2028</v>
      </c>
      <c r="H261" s="1432"/>
      <c r="I261" s="1432"/>
      <c r="J261" s="1432"/>
      <c r="K261" s="1432"/>
      <c r="L261" s="150">
        <f t="shared" si="18"/>
        <v>4781</v>
      </c>
      <c r="M261" s="151" t="str">
        <f t="shared" si="19"/>
        <v>VENTES PNEUS</v>
      </c>
      <c r="N261" s="152">
        <f>+IF(OR($Q261=Parametres!$G$2,$Q261=Parametres!$G$3),I261,C261)</f>
        <v>-339619.57</v>
      </c>
      <c r="O261" s="152">
        <f>+IF(OR($Q261=Parametres!$G$2,$Q261=Parametres!$G$3),J261,D261)</f>
        <v>-122205.07</v>
      </c>
      <c r="P261" s="152">
        <f>+IF(OR($Q261=Parametres!$G$2,$Q261=Parametres!$G$3),K261,E261)</f>
        <v>-461824.64</v>
      </c>
      <c r="Q261" s="151" t="str">
        <f t="shared" si="20"/>
        <v>5-Ventes</v>
      </c>
      <c r="R261" s="150" t="str">
        <f t="shared" si="20"/>
        <v>4781</v>
      </c>
      <c r="S261" s="151">
        <f t="shared" si="20"/>
        <v>0</v>
      </c>
      <c r="T261" s="153">
        <f>+VLOOKUP($L261,Data_Validation!$A:$D,1,0)</f>
        <v>4781</v>
      </c>
      <c r="U261" s="153" t="str">
        <f>+VLOOKUP($L261,Data_Validation!$A:$D,3,0)</f>
        <v>Pièces</v>
      </c>
      <c r="V261" s="153" t="str">
        <f>+VLOOKUP($L261,Data_Validation!$A:$D,4,0)</f>
        <v>Ventes Pneus</v>
      </c>
      <c r="W261" s="153" t="str">
        <f>+VLOOKUP($L261,Data_Validation!$A:$E,5,0)</f>
        <v>$</v>
      </c>
      <c r="X261" s="153" t="str">
        <f>+VLOOKUP($L261,Data_Validation!$A:$F,6,0)</f>
        <v>Oui</v>
      </c>
    </row>
    <row r="262" spans="1:24" ht="15.75" customHeight="1">
      <c r="A262" s="1430" t="s">
        <v>2027</v>
      </c>
      <c r="B262" s="1430" t="s">
        <v>2549</v>
      </c>
      <c r="C262" s="1432"/>
      <c r="D262" s="1432"/>
      <c r="E262" s="1432"/>
      <c r="F262" s="1430" t="s">
        <v>4</v>
      </c>
      <c r="G262" s="1430" t="s">
        <v>2028</v>
      </c>
      <c r="H262" s="1432"/>
      <c r="I262" s="1433">
        <v>-485</v>
      </c>
      <c r="J262" s="1433">
        <v>-153</v>
      </c>
      <c r="K262" s="1433">
        <v>-638</v>
      </c>
      <c r="L262" s="150" t="str">
        <f t="shared" si="18"/>
        <v>4781@</v>
      </c>
      <c r="M262" s="151" t="str">
        <f t="shared" si="19"/>
        <v>VENTES PNEUS</v>
      </c>
      <c r="N262" s="152">
        <f>+IF(OR($Q262=Parametres!$G$2,$Q262=Parametres!$G$3),I262,C262)</f>
        <v>-485</v>
      </c>
      <c r="O262" s="152">
        <f>+IF(OR($Q262=Parametres!$G$2,$Q262=Parametres!$G$3),J262,D262)</f>
        <v>-153</v>
      </c>
      <c r="P262" s="152">
        <f>+IF(OR($Q262=Parametres!$G$2,$Q262=Parametres!$G$3),K262,E262)</f>
        <v>-638</v>
      </c>
      <c r="Q262" s="151" t="str">
        <f t="shared" si="20"/>
        <v>10-Compte compteur</v>
      </c>
      <c r="R262" s="150" t="str">
        <f t="shared" si="20"/>
        <v>4781</v>
      </c>
      <c r="S262" s="151">
        <f t="shared" si="20"/>
        <v>0</v>
      </c>
      <c r="T262" s="153" t="str">
        <f>+VLOOKUP($L262,Data_Validation!$A:$D,1,0)</f>
        <v>4781@</v>
      </c>
      <c r="U262" s="153" t="str">
        <f>+VLOOKUP($L262,Data_Validation!$A:$D,3,0)</f>
        <v>Pièces</v>
      </c>
      <c r="V262" s="153" t="str">
        <f>+VLOOKUP($L262,Data_Validation!$A:$D,4,0)</f>
        <v>Ventes Pneus</v>
      </c>
      <c r="W262" s="153" t="str">
        <f>+VLOOKUP($L262,Data_Validation!$A:$E,5,0)</f>
        <v>NB</v>
      </c>
      <c r="X262" s="153">
        <f>+VLOOKUP($L262,Data_Validation!$A:$F,6,0)</f>
        <v>0</v>
      </c>
    </row>
    <row r="263" spans="1:24" ht="15" customHeight="1">
      <c r="A263" s="1430" t="s">
        <v>2113</v>
      </c>
      <c r="B263" s="1431">
        <v>4785</v>
      </c>
      <c r="C263" s="1433">
        <v>-7633.95</v>
      </c>
      <c r="D263" s="1433">
        <v>-6985.46</v>
      </c>
      <c r="E263" s="1433">
        <v>-14619.41</v>
      </c>
      <c r="F263" s="1430" t="s">
        <v>282</v>
      </c>
      <c r="G263" s="1430" t="s">
        <v>2028</v>
      </c>
      <c r="H263" s="1432"/>
      <c r="I263" s="1432"/>
      <c r="J263" s="1432"/>
      <c r="K263" s="1432"/>
      <c r="L263" s="150">
        <f t="shared" si="18"/>
        <v>4785</v>
      </c>
      <c r="M263" s="151" t="str">
        <f t="shared" si="19"/>
        <v>VTE - VW PNEUS</v>
      </c>
      <c r="N263" s="152">
        <f>+IF(OR($Q263=Parametres!$G$2,$Q263=Parametres!$G$3),I263,C263)</f>
        <v>-7633.95</v>
      </c>
      <c r="O263" s="152">
        <f>+IF(OR($Q263=Parametres!$G$2,$Q263=Parametres!$G$3),J263,D263)</f>
        <v>-6985.46</v>
      </c>
      <c r="P263" s="152">
        <f>+IF(OR($Q263=Parametres!$G$2,$Q263=Parametres!$G$3),K263,E263)</f>
        <v>-14619.41</v>
      </c>
      <c r="Q263" s="151" t="str">
        <f t="shared" si="20"/>
        <v>5-Ventes</v>
      </c>
      <c r="R263" s="150" t="str">
        <f t="shared" si="20"/>
        <v>4781</v>
      </c>
      <c r="S263" s="151">
        <f t="shared" si="20"/>
        <v>0</v>
      </c>
      <c r="T263" s="153">
        <f>+VLOOKUP($L263,Data_Validation!$A:$D,1,0)</f>
        <v>4785</v>
      </c>
      <c r="U263" s="153" t="str">
        <f>+VLOOKUP($L263,Data_Validation!$A:$D,3,0)</f>
        <v>Pièces</v>
      </c>
      <c r="V263" s="153" t="str">
        <f>+VLOOKUP($L263,Data_Validation!$A:$D,4,0)</f>
        <v>Ventes Pneus</v>
      </c>
      <c r="W263" s="153" t="str">
        <f>+VLOOKUP($L263,Data_Validation!$A:$E,5,0)</f>
        <v>$</v>
      </c>
      <c r="X263" s="153" t="str">
        <f>+VLOOKUP($L263,Data_Validation!$A:$F,6,0)</f>
        <v>Oui</v>
      </c>
    </row>
    <row r="264" spans="1:24" ht="15" customHeight="1">
      <c r="A264" s="1430" t="s">
        <v>2831</v>
      </c>
      <c r="B264" s="1431">
        <v>5100</v>
      </c>
      <c r="C264" s="1433">
        <v>2115598.7400000002</v>
      </c>
      <c r="D264" s="1433">
        <v>288984.03999999998</v>
      </c>
      <c r="E264" s="1433">
        <v>2404582.7799999998</v>
      </c>
      <c r="F264" s="1430" t="s">
        <v>421</v>
      </c>
      <c r="G264" s="1430" t="s">
        <v>2019</v>
      </c>
      <c r="H264" s="1432"/>
      <c r="I264" s="1432"/>
      <c r="J264" s="1432"/>
      <c r="K264" s="1432"/>
      <c r="L264" s="150">
        <f t="shared" si="18"/>
        <v>5100</v>
      </c>
      <c r="M264" s="151" t="str">
        <f t="shared" si="19"/>
        <v>C/V - RACHAT DE BAIL</v>
      </c>
      <c r="N264" s="152">
        <f>+IF(OR($Q264=Parametres!$G$2,$Q264=Parametres!$G$3),I264,C264)</f>
        <v>2115598.7400000002</v>
      </c>
      <c r="O264" s="152">
        <f>+IF(OR($Q264=Parametres!$G$2,$Q264=Parametres!$G$3),J264,D264)</f>
        <v>288984.03999999998</v>
      </c>
      <c r="P264" s="152">
        <f>+IF(OR($Q264=Parametres!$G$2,$Q264=Parametres!$G$3),K264,E264)</f>
        <v>2404582.7799999998</v>
      </c>
      <c r="Q264" s="151" t="str">
        <f t="shared" si="20"/>
        <v>6-Coût des ventes</v>
      </c>
      <c r="R264" s="150" t="str">
        <f t="shared" si="20"/>
        <v>4100</v>
      </c>
      <c r="S264" s="151">
        <f t="shared" si="20"/>
        <v>0</v>
      </c>
      <c r="T264" s="153">
        <f>+VLOOKUP($L264,Data_Validation!$A:$D,1,0)</f>
        <v>5100</v>
      </c>
      <c r="U264" s="153" t="str">
        <f>+VLOOKUP($L264,Data_Validation!$A:$D,3,0)</f>
        <v>Véhicules neufs</v>
      </c>
      <c r="V264" s="153" t="str">
        <f>+VLOOKUP($L264,Data_Validation!$A:$D,4,0)</f>
        <v>Rachat bail</v>
      </c>
      <c r="W264" s="153" t="str">
        <f>+VLOOKUP($L264,Data_Validation!$A:$E,5,0)</f>
        <v>$</v>
      </c>
      <c r="X264" s="153">
        <f>+VLOOKUP($L264,Data_Validation!$A:$F,6,0)</f>
        <v>0</v>
      </c>
    </row>
    <row r="265" spans="1:24" ht="15" customHeight="1">
      <c r="A265" s="1430" t="s">
        <v>2439</v>
      </c>
      <c r="B265" s="1431">
        <v>5105</v>
      </c>
      <c r="C265" s="1433">
        <v>103255.11</v>
      </c>
      <c r="D265" s="1433">
        <v>126.76</v>
      </c>
      <c r="E265" s="1433">
        <v>103381.87</v>
      </c>
      <c r="F265" s="1430" t="s">
        <v>421</v>
      </c>
      <c r="G265" s="1430" t="s">
        <v>2425</v>
      </c>
      <c r="H265" s="1432"/>
      <c r="I265" s="1432"/>
      <c r="J265" s="1432"/>
      <c r="K265" s="1432"/>
      <c r="L265" s="150">
        <f t="shared" si="18"/>
        <v>5105</v>
      </c>
      <c r="M265" s="151" t="str">
        <f t="shared" si="19"/>
        <v>C/V - ARTEON</v>
      </c>
      <c r="N265" s="152">
        <f>+IF(OR($Q265=Parametres!$G$2,$Q265=Parametres!$G$3),I265,C265)</f>
        <v>103255.11</v>
      </c>
      <c r="O265" s="152">
        <f>+IF(OR($Q265=Parametres!$G$2,$Q265=Parametres!$G$3),J265,D265)</f>
        <v>126.76</v>
      </c>
      <c r="P265" s="152">
        <f>+IF(OR($Q265=Parametres!$G$2,$Q265=Parametres!$G$3),K265,E265)</f>
        <v>103381.87</v>
      </c>
      <c r="Q265" s="151" t="str">
        <f t="shared" si="20"/>
        <v>6-Coût des ventes</v>
      </c>
      <c r="R265" s="150" t="str">
        <f t="shared" si="20"/>
        <v>4105</v>
      </c>
      <c r="S265" s="151">
        <f t="shared" si="20"/>
        <v>0</v>
      </c>
      <c r="T265" s="153">
        <f>+VLOOKUP($L265,Data_Validation!$A:$D,1,0)</f>
        <v>5105</v>
      </c>
      <c r="U265" s="153" t="str">
        <f>+VLOOKUP($L265,Data_Validation!$A:$D,3,0)</f>
        <v>Véhicules neufs</v>
      </c>
      <c r="V265" s="153" t="str">
        <f>+VLOOKUP($L265,Data_Validation!$A:$D,4,0)</f>
        <v>Autos détail</v>
      </c>
      <c r="W265" s="153" t="str">
        <f>+VLOOKUP($L265,Data_Validation!$A:$E,5,0)</f>
        <v>$</v>
      </c>
      <c r="X265" s="153">
        <f>+VLOOKUP($L265,Data_Validation!$A:$F,6,0)</f>
        <v>0</v>
      </c>
    </row>
    <row r="266" spans="1:24" ht="15" customHeight="1">
      <c r="A266" s="1430" t="s">
        <v>2833</v>
      </c>
      <c r="B266" s="1431">
        <v>5107</v>
      </c>
      <c r="C266" s="1433">
        <v>2672367.89</v>
      </c>
      <c r="D266" s="1433">
        <v>24147.47</v>
      </c>
      <c r="E266" s="1433">
        <v>2696515.36</v>
      </c>
      <c r="F266" s="1430" t="s">
        <v>421</v>
      </c>
      <c r="G266" s="1430" t="s">
        <v>2012</v>
      </c>
      <c r="H266" s="1432"/>
      <c r="I266" s="1432"/>
      <c r="J266" s="1432"/>
      <c r="K266" s="1432"/>
      <c r="L266" s="150">
        <f t="shared" si="18"/>
        <v>5107</v>
      </c>
      <c r="M266" s="151" t="str">
        <f t="shared" si="19"/>
        <v>C/V - GOLF</v>
      </c>
      <c r="N266" s="152">
        <f>+IF(OR($Q266=Parametres!$G$2,$Q266=Parametres!$G$3),I266,C266)</f>
        <v>2672367.89</v>
      </c>
      <c r="O266" s="152">
        <f>+IF(OR($Q266=Parametres!$G$2,$Q266=Parametres!$G$3),J266,D266)</f>
        <v>24147.47</v>
      </c>
      <c r="P266" s="152">
        <f>+IF(OR($Q266=Parametres!$G$2,$Q266=Parametres!$G$3),K266,E266)</f>
        <v>2696515.36</v>
      </c>
      <c r="Q266" s="151" t="str">
        <f t="shared" si="20"/>
        <v>6-Coût des ventes</v>
      </c>
      <c r="R266" s="150" t="str">
        <f t="shared" si="20"/>
        <v>4107</v>
      </c>
      <c r="S266" s="151">
        <f t="shared" si="20"/>
        <v>0</v>
      </c>
      <c r="T266" s="153">
        <f>+VLOOKUP($L266,Data_Validation!$A:$D,1,0)</f>
        <v>5107</v>
      </c>
      <c r="U266" s="153" t="str">
        <f>+VLOOKUP($L266,Data_Validation!$A:$D,3,0)</f>
        <v>Véhicules neufs</v>
      </c>
      <c r="V266" s="153" t="str">
        <f>+VLOOKUP($L266,Data_Validation!$A:$D,4,0)</f>
        <v>Autos détail</v>
      </c>
      <c r="W266" s="153" t="str">
        <f>+VLOOKUP($L266,Data_Validation!$A:$E,5,0)</f>
        <v>$</v>
      </c>
      <c r="X266" s="153">
        <f>+VLOOKUP($L266,Data_Validation!$A:$F,6,0)</f>
        <v>0</v>
      </c>
    </row>
    <row r="267" spans="1:24" ht="15" customHeight="1">
      <c r="A267" s="1430" t="s">
        <v>2835</v>
      </c>
      <c r="B267" s="1431">
        <v>5111</v>
      </c>
      <c r="C267" s="1433">
        <v>2545330.86</v>
      </c>
      <c r="D267" s="1433">
        <v>170366.61</v>
      </c>
      <c r="E267" s="1433">
        <v>2715697.47</v>
      </c>
      <c r="F267" s="1430" t="s">
        <v>421</v>
      </c>
      <c r="G267" s="1430" t="s">
        <v>2007</v>
      </c>
      <c r="H267" s="1432"/>
      <c r="I267" s="1432"/>
      <c r="J267" s="1432"/>
      <c r="K267" s="1432"/>
      <c r="L267" s="150">
        <f t="shared" si="18"/>
        <v>5111</v>
      </c>
      <c r="M267" s="151" t="str">
        <f t="shared" si="19"/>
        <v>C/V - JETTA</v>
      </c>
      <c r="N267" s="152">
        <f>+IF(OR($Q267=Parametres!$G$2,$Q267=Parametres!$G$3),I267,C267)</f>
        <v>2545330.86</v>
      </c>
      <c r="O267" s="152">
        <f>+IF(OR($Q267=Parametres!$G$2,$Q267=Parametres!$G$3),J267,D267)</f>
        <v>170366.61</v>
      </c>
      <c r="P267" s="152">
        <f>+IF(OR($Q267=Parametres!$G$2,$Q267=Parametres!$G$3),K267,E267)</f>
        <v>2715697.47</v>
      </c>
      <c r="Q267" s="151" t="str">
        <f t="shared" si="20"/>
        <v>6-Coût des ventes</v>
      </c>
      <c r="R267" s="150" t="str">
        <f t="shared" si="20"/>
        <v>4111</v>
      </c>
      <c r="S267" s="151">
        <f t="shared" si="20"/>
        <v>0</v>
      </c>
      <c r="T267" s="153">
        <f>+VLOOKUP($L267,Data_Validation!$A:$D,1,0)</f>
        <v>5111</v>
      </c>
      <c r="U267" s="153" t="str">
        <f>+VLOOKUP($L267,Data_Validation!$A:$D,3,0)</f>
        <v>Véhicules neufs</v>
      </c>
      <c r="V267" s="153" t="str">
        <f>+VLOOKUP($L267,Data_Validation!$A:$D,4,0)</f>
        <v>Autos détail</v>
      </c>
      <c r="W267" s="153" t="str">
        <f>+VLOOKUP($L267,Data_Validation!$A:$E,5,0)</f>
        <v>$</v>
      </c>
      <c r="X267" s="153">
        <f>+VLOOKUP($L267,Data_Validation!$A:$F,6,0)</f>
        <v>0</v>
      </c>
    </row>
    <row r="268" spans="1:24" ht="15" customHeight="1">
      <c r="A268" s="1430" t="s">
        <v>2445</v>
      </c>
      <c r="B268" s="1431">
        <v>5115</v>
      </c>
      <c r="C268" s="1433">
        <v>14956.52</v>
      </c>
      <c r="D268" s="1433">
        <v>0</v>
      </c>
      <c r="E268" s="1433">
        <v>14956.52</v>
      </c>
      <c r="F268" s="1430" t="s">
        <v>421</v>
      </c>
      <c r="G268" s="1430" t="s">
        <v>2431</v>
      </c>
      <c r="H268" s="1432"/>
      <c r="I268" s="1432"/>
      <c r="J268" s="1432"/>
      <c r="K268" s="1432"/>
      <c r="L268" s="150">
        <f t="shared" si="18"/>
        <v>5115</v>
      </c>
      <c r="M268" s="151" t="str">
        <f t="shared" si="19"/>
        <v>C/V - PASSAT BERLINE</v>
      </c>
      <c r="N268" s="152">
        <f>+IF(OR($Q268=Parametres!$G$2,$Q268=Parametres!$G$3),I268,C268)</f>
        <v>14956.52</v>
      </c>
      <c r="O268" s="152">
        <f>+IF(OR($Q268=Parametres!$G$2,$Q268=Parametres!$G$3),J268,D268)</f>
        <v>0</v>
      </c>
      <c r="P268" s="152">
        <f>+IF(OR($Q268=Parametres!$G$2,$Q268=Parametres!$G$3),K268,E268)</f>
        <v>14956.52</v>
      </c>
      <c r="Q268" s="151" t="str">
        <f t="shared" si="20"/>
        <v>6-Coût des ventes</v>
      </c>
      <c r="R268" s="150" t="str">
        <f t="shared" si="20"/>
        <v>4115</v>
      </c>
      <c r="S268" s="151">
        <f t="shared" si="20"/>
        <v>0</v>
      </c>
      <c r="T268" s="153">
        <f>+VLOOKUP($L268,Data_Validation!$A:$D,1,0)</f>
        <v>5115</v>
      </c>
      <c r="U268" s="153" t="str">
        <f>+VLOOKUP($L268,Data_Validation!$A:$D,3,0)</f>
        <v>Véhicules neufs</v>
      </c>
      <c r="V268" s="153" t="str">
        <f>+VLOOKUP($L268,Data_Validation!$A:$D,4,0)</f>
        <v>Autos détail</v>
      </c>
      <c r="W268" s="153" t="str">
        <f>+VLOOKUP($L268,Data_Validation!$A:$E,5,0)</f>
        <v>$</v>
      </c>
      <c r="X268" s="153">
        <f>+VLOOKUP($L268,Data_Validation!$A:$F,6,0)</f>
        <v>0</v>
      </c>
    </row>
    <row r="269" spans="1:24" ht="15" customHeight="1">
      <c r="A269" s="1430" t="s">
        <v>2897</v>
      </c>
      <c r="B269" s="1431">
        <v>5118</v>
      </c>
      <c r="C269" s="1433">
        <v>539585.31999999995</v>
      </c>
      <c r="D269" s="1433">
        <v>416252.02</v>
      </c>
      <c r="E269" s="1433">
        <v>955837.34</v>
      </c>
      <c r="F269" s="1430" t="s">
        <v>421</v>
      </c>
      <c r="G269" s="1430" t="s">
        <v>1523</v>
      </c>
      <c r="H269" s="1432"/>
      <c r="I269" s="1432"/>
      <c r="J269" s="1432"/>
      <c r="K269" s="1432"/>
      <c r="L269" s="150">
        <f t="shared" si="18"/>
        <v>5118</v>
      </c>
      <c r="M269" s="151" t="str">
        <f t="shared" si="19"/>
        <v>C/V - TAOS</v>
      </c>
      <c r="N269" s="152">
        <f>+IF(OR($Q269=Parametres!$G$2,$Q269=Parametres!$G$3),I269,C269)</f>
        <v>539585.31999999995</v>
      </c>
      <c r="O269" s="152">
        <f>+IF(OR($Q269=Parametres!$G$2,$Q269=Parametres!$G$3),J269,D269)</f>
        <v>416252.02</v>
      </c>
      <c r="P269" s="152">
        <f>+IF(OR($Q269=Parametres!$G$2,$Q269=Parametres!$G$3),K269,E269)</f>
        <v>955837.34</v>
      </c>
      <c r="Q269" s="151" t="str">
        <f t="shared" si="20"/>
        <v>6-Coût des ventes</v>
      </c>
      <c r="R269" s="150" t="str">
        <f t="shared" si="20"/>
        <v>511</v>
      </c>
      <c r="S269" s="151">
        <f t="shared" si="20"/>
        <v>0</v>
      </c>
      <c r="T269" s="153">
        <f>+VLOOKUP($L269,Data_Validation!$A:$D,1,0)</f>
        <v>5118</v>
      </c>
      <c r="U269" s="153" t="str">
        <f>+VLOOKUP($L269,Data_Validation!$A:$D,3,0)</f>
        <v>Véhicules neufs</v>
      </c>
      <c r="V269" s="153" t="str">
        <f>+VLOOKUP($L269,Data_Validation!$A:$D,4,0)</f>
        <v>Camions détail</v>
      </c>
      <c r="W269" s="153" t="str">
        <f>+VLOOKUP($L269,Data_Validation!$A:$E,5,0)</f>
        <v>$</v>
      </c>
      <c r="X269" s="153">
        <f>+VLOOKUP($L269,Data_Validation!$A:$F,6,0)</f>
        <v>0</v>
      </c>
    </row>
    <row r="270" spans="1:24" ht="15" customHeight="1">
      <c r="A270" s="1430" t="s">
        <v>2841</v>
      </c>
      <c r="B270" s="1431">
        <v>5119</v>
      </c>
      <c r="C270" s="1433">
        <v>4835861.7699999996</v>
      </c>
      <c r="D270" s="1433">
        <v>673851.85</v>
      </c>
      <c r="E270" s="1433">
        <v>5509713.6200000001</v>
      </c>
      <c r="F270" s="1430" t="s">
        <v>421</v>
      </c>
      <c r="G270" s="1430" t="s">
        <v>1996</v>
      </c>
      <c r="H270" s="1432"/>
      <c r="I270" s="1432"/>
      <c r="J270" s="1432"/>
      <c r="K270" s="1432"/>
      <c r="L270" s="150">
        <f t="shared" si="18"/>
        <v>5119</v>
      </c>
      <c r="M270" s="151" t="str">
        <f t="shared" si="19"/>
        <v>C/V - ATLAS</v>
      </c>
      <c r="N270" s="152">
        <f>+IF(OR($Q270=Parametres!$G$2,$Q270=Parametres!$G$3),I270,C270)</f>
        <v>4835861.7699999996</v>
      </c>
      <c r="O270" s="569">
        <f>+IF(OR($Q270=Parametres!$G$2,$Q270=Parametres!$G$3),J270,D270)</f>
        <v>673851.85</v>
      </c>
      <c r="P270" s="152">
        <f>+IF(OR($Q270=Parametres!$G$2,$Q270=Parametres!$G$3),K270,E270)</f>
        <v>5509713.6200000001</v>
      </c>
      <c r="Q270" s="151" t="str">
        <f t="shared" si="20"/>
        <v>6-Coût des ventes</v>
      </c>
      <c r="R270" s="150" t="str">
        <f t="shared" si="20"/>
        <v>4119</v>
      </c>
      <c r="S270" s="151">
        <f t="shared" si="20"/>
        <v>0</v>
      </c>
      <c r="T270" s="153">
        <f>+VLOOKUP($L270,Data_Validation!$A:$D,1,0)</f>
        <v>5119</v>
      </c>
      <c r="U270" s="153" t="str">
        <f>+VLOOKUP($L270,Data_Validation!$A:$D,3,0)</f>
        <v>Véhicules neufs</v>
      </c>
      <c r="V270" s="153" t="str">
        <f>+VLOOKUP($L270,Data_Validation!$A:$D,4,0)</f>
        <v>Camions détail</v>
      </c>
      <c r="W270" s="153" t="str">
        <f>+VLOOKUP($L270,Data_Validation!$A:$E,5,0)</f>
        <v>$</v>
      </c>
      <c r="X270" s="153">
        <f>+VLOOKUP($L270,Data_Validation!$A:$F,6,0)</f>
        <v>0</v>
      </c>
    </row>
    <row r="271" spans="1:24" ht="15" customHeight="1">
      <c r="A271" s="1430" t="s">
        <v>2885</v>
      </c>
      <c r="B271" s="1431">
        <v>5121</v>
      </c>
      <c r="C271" s="1433">
        <v>431967.03</v>
      </c>
      <c r="D271" s="1433">
        <v>45248.160000000003</v>
      </c>
      <c r="E271" s="1433">
        <v>477215.19</v>
      </c>
      <c r="F271" s="1430" t="s">
        <v>421</v>
      </c>
      <c r="G271" s="1430" t="s">
        <v>3252</v>
      </c>
      <c r="H271" s="1432"/>
      <c r="I271" s="1432"/>
      <c r="J271" s="1432"/>
      <c r="K271" s="1432"/>
      <c r="L271" s="150">
        <f t="shared" si="18"/>
        <v>5121</v>
      </c>
      <c r="M271" s="151" t="str">
        <f t="shared" si="19"/>
        <v>C/V - ATLAS CROSS SPORT</v>
      </c>
      <c r="N271" s="152">
        <f>+IF(OR($Q271=Parametres!$G$2,$Q271=Parametres!$G$3),I271,C271)</f>
        <v>431967.03</v>
      </c>
      <c r="O271" s="569">
        <f>+IF(OR($Q271=Parametres!$G$2,$Q271=Parametres!$G$3),J271,D271)</f>
        <v>45248.160000000003</v>
      </c>
      <c r="P271" s="152">
        <f>+IF(OR($Q271=Parametres!$G$2,$Q271=Parametres!$G$3),K271,E271)</f>
        <v>477215.19</v>
      </c>
      <c r="Q271" s="151" t="str">
        <f t="shared" si="20"/>
        <v>6-Coût des ventes</v>
      </c>
      <c r="R271" s="150" t="str">
        <f t="shared" si="20"/>
        <v>4121</v>
      </c>
      <c r="S271" s="151">
        <f t="shared" si="20"/>
        <v>0</v>
      </c>
      <c r="T271" s="153">
        <f>+VLOOKUP($L271,Data_Validation!$A:$D,1,0)</f>
        <v>5121</v>
      </c>
      <c r="U271" s="153" t="str">
        <f>+VLOOKUP($L271,Data_Validation!$A:$D,3,0)</f>
        <v>Véhicules neufs</v>
      </c>
      <c r="V271" s="153" t="str">
        <f>+VLOOKUP($L271,Data_Validation!$A:$D,4,0)</f>
        <v>Camions détail</v>
      </c>
      <c r="W271" s="153" t="str">
        <f>+VLOOKUP($L271,Data_Validation!$A:$E,5,0)</f>
        <v>$</v>
      </c>
      <c r="X271" s="153">
        <f>+VLOOKUP($L271,Data_Validation!$A:$F,6,0)</f>
        <v>0</v>
      </c>
    </row>
    <row r="272" spans="1:24" ht="15.75" customHeight="1">
      <c r="A272" s="1430" t="s">
        <v>2827</v>
      </c>
      <c r="B272" s="1431">
        <v>5127</v>
      </c>
      <c r="C272" s="1433">
        <v>811177</v>
      </c>
      <c r="D272" s="1433">
        <v>78509.98</v>
      </c>
      <c r="E272" s="1433">
        <v>889686.98</v>
      </c>
      <c r="F272" s="1430" t="s">
        <v>421</v>
      </c>
      <c r="G272" s="1430" t="s">
        <v>2024</v>
      </c>
      <c r="H272" s="1432"/>
      <c r="I272" s="1432"/>
      <c r="J272" s="1432"/>
      <c r="K272" s="1432"/>
      <c r="L272" s="150">
        <f t="shared" si="18"/>
        <v>5127</v>
      </c>
      <c r="M272" s="151" t="str">
        <f t="shared" si="19"/>
        <v>C/V - GOLF GTI</v>
      </c>
      <c r="N272" s="152">
        <f>+IF(OR($Q272=Parametres!$G$2,$Q272=Parametres!$G$3),I272,C272)</f>
        <v>811177</v>
      </c>
      <c r="O272" s="569">
        <f>+IF(OR($Q272=Parametres!$G$2,$Q272=Parametres!$G$3),J272,D272)</f>
        <v>78509.98</v>
      </c>
      <c r="P272" s="152">
        <f>+IF(OR($Q272=Parametres!$G$2,$Q272=Parametres!$G$3),K272,E272)</f>
        <v>889686.98</v>
      </c>
      <c r="Q272" s="151" t="str">
        <f t="shared" si="20"/>
        <v>6-Coût des ventes</v>
      </c>
      <c r="R272" s="150" t="str">
        <f t="shared" si="20"/>
        <v>4127</v>
      </c>
      <c r="S272" s="151">
        <f t="shared" si="20"/>
        <v>0</v>
      </c>
      <c r="T272" s="153">
        <f>+VLOOKUP($L272,Data_Validation!$A:$D,1,0)</f>
        <v>5127</v>
      </c>
      <c r="U272" s="153" t="str">
        <f>+VLOOKUP($L272,Data_Validation!$A:$D,3,0)</f>
        <v>Véhicules neufs</v>
      </c>
      <c r="V272" s="153" t="str">
        <f>+VLOOKUP($L272,Data_Validation!$A:$D,4,0)</f>
        <v>Autos détail</v>
      </c>
      <c r="W272" s="153" t="str">
        <f>+VLOOKUP($L272,Data_Validation!$A:$E,5,0)</f>
        <v>$</v>
      </c>
      <c r="X272" s="153">
        <f>+VLOOKUP($L272,Data_Validation!$A:$F,6,0)</f>
        <v>0</v>
      </c>
    </row>
    <row r="273" spans="1:24" ht="15" customHeight="1">
      <c r="A273" s="1430" t="s">
        <v>2846</v>
      </c>
      <c r="B273" s="1431">
        <v>5131</v>
      </c>
      <c r="C273" s="1433">
        <v>9298024.4499999993</v>
      </c>
      <c r="D273" s="1433">
        <v>1103535.6000000001</v>
      </c>
      <c r="E273" s="1433">
        <v>10401560.050000001</v>
      </c>
      <c r="F273" s="1430" t="s">
        <v>421</v>
      </c>
      <c r="G273" s="1430" t="s">
        <v>1992</v>
      </c>
      <c r="H273" s="1235"/>
      <c r="I273" s="1236"/>
      <c r="J273" s="1236"/>
      <c r="K273" s="1236"/>
      <c r="L273" s="150">
        <f t="shared" si="18"/>
        <v>5131</v>
      </c>
      <c r="M273" s="151" t="str">
        <f t="shared" si="19"/>
        <v>C/V - TIGUAN LWB</v>
      </c>
      <c r="N273" s="152">
        <f>+IF(OR($Q273=Parametres!$G$2,$Q273=Parametres!$G$3),I273,C273)</f>
        <v>9298024.4499999993</v>
      </c>
      <c r="O273" s="569">
        <f>+IF(OR($Q273=Parametres!$G$2,$Q273=Parametres!$G$3),J273,D273)</f>
        <v>1103535.6000000001</v>
      </c>
      <c r="P273" s="152">
        <f>+IF(OR($Q273=Parametres!$G$2,$Q273=Parametres!$G$3),K273,E273)</f>
        <v>10401560.050000001</v>
      </c>
      <c r="Q273" s="151" t="str">
        <f t="shared" si="20"/>
        <v>6-Coût des ventes</v>
      </c>
      <c r="R273" s="150" t="str">
        <f t="shared" si="20"/>
        <v>4131</v>
      </c>
      <c r="S273" s="151">
        <f t="shared" si="20"/>
        <v>0</v>
      </c>
      <c r="T273" s="153">
        <f>+VLOOKUP($L273,Data_Validation!$A:$D,1,0)</f>
        <v>5131</v>
      </c>
      <c r="U273" s="153" t="str">
        <f>+VLOOKUP($L273,Data_Validation!$A:$D,3,0)</f>
        <v>Véhicules neufs</v>
      </c>
      <c r="V273" s="153" t="str">
        <f>+VLOOKUP($L273,Data_Validation!$A:$D,4,0)</f>
        <v>Camions détail</v>
      </c>
      <c r="W273" s="153" t="str">
        <f>+VLOOKUP($L273,Data_Validation!$A:$E,5,0)</f>
        <v>$</v>
      </c>
      <c r="X273" s="153">
        <f>+VLOOKUP($L273,Data_Validation!$A:$F,6,0)</f>
        <v>0</v>
      </c>
    </row>
    <row r="274" spans="1:24" ht="15" customHeight="1">
      <c r="A274" s="1430" t="s">
        <v>2829</v>
      </c>
      <c r="B274" s="1431">
        <v>5135</v>
      </c>
      <c r="C274" s="1433">
        <v>352313.35</v>
      </c>
      <c r="D274" s="1433">
        <v>0</v>
      </c>
      <c r="E274" s="1433">
        <v>352313.35</v>
      </c>
      <c r="F274" s="1430" t="s">
        <v>421</v>
      </c>
      <c r="G274" s="1430" t="s">
        <v>2497</v>
      </c>
      <c r="H274" s="1235"/>
      <c r="I274" s="1236"/>
      <c r="J274" s="1236"/>
      <c r="K274" s="1236"/>
      <c r="L274" s="150">
        <f t="shared" si="18"/>
        <v>5135</v>
      </c>
      <c r="M274" s="151" t="str">
        <f t="shared" si="19"/>
        <v>C/V - EGOLF</v>
      </c>
      <c r="N274" s="152">
        <f>+IF(OR($Q274=Parametres!$G$2,$Q274=Parametres!$G$3),I274,C274)</f>
        <v>352313.35</v>
      </c>
      <c r="O274" s="569">
        <f>+IF(OR($Q274=Parametres!$G$2,$Q274=Parametres!$G$3),J274,D274)</f>
        <v>0</v>
      </c>
      <c r="P274" s="152">
        <f>+IF(OR($Q274=Parametres!$G$2,$Q274=Parametres!$G$3),K274,E274)</f>
        <v>352313.35</v>
      </c>
      <c r="Q274" s="151" t="str">
        <f t="shared" ref="Q274:S289" si="21">+F274</f>
        <v>6-Coût des ventes</v>
      </c>
      <c r="R274" s="150" t="str">
        <f t="shared" si="21"/>
        <v>84135</v>
      </c>
      <c r="S274" s="151">
        <f t="shared" si="21"/>
        <v>0</v>
      </c>
      <c r="T274" s="153">
        <f>+VLOOKUP($L274,Data_Validation!$A:$D,1,0)</f>
        <v>5135</v>
      </c>
      <c r="U274" s="153" t="str">
        <f>+VLOOKUP($L274,Data_Validation!$A:$D,3,0)</f>
        <v>Véhicules neufs</v>
      </c>
      <c r="V274" s="153" t="str">
        <f>+VLOOKUP($L274,Data_Validation!$A:$D,4,0)</f>
        <v>Autos détail</v>
      </c>
      <c r="W274" s="153" t="str">
        <f>+VLOOKUP($L274,Data_Validation!$A:$E,5,0)</f>
        <v>$</v>
      </c>
      <c r="X274" s="153">
        <f>+VLOOKUP($L274,Data_Validation!$A:$F,6,0)</f>
        <v>0</v>
      </c>
    </row>
    <row r="275" spans="1:24" ht="15" customHeight="1">
      <c r="A275" s="1430" t="s">
        <v>2447</v>
      </c>
      <c r="B275" s="1431">
        <v>5137</v>
      </c>
      <c r="C275" s="1433">
        <v>666045.81999999995</v>
      </c>
      <c r="D275" s="1433">
        <v>42397.120000000003</v>
      </c>
      <c r="E275" s="1433">
        <v>708442.94</v>
      </c>
      <c r="F275" s="1430" t="s">
        <v>421</v>
      </c>
      <c r="G275" s="1430" t="s">
        <v>2433</v>
      </c>
      <c r="H275" s="1235"/>
      <c r="I275" s="1236"/>
      <c r="J275" s="1236"/>
      <c r="K275" s="1236"/>
      <c r="L275" s="150">
        <f t="shared" si="18"/>
        <v>5137</v>
      </c>
      <c r="M275" s="151" t="str">
        <f t="shared" si="19"/>
        <v>C/V - VW FLOTTE/VENTE ENTR/EMPLOYE/VEH DEMONS</v>
      </c>
      <c r="N275" s="152">
        <f>+IF(OR($Q275=Parametres!$G$2,$Q275=Parametres!$G$3),I275,C275)</f>
        <v>666045.81999999995</v>
      </c>
      <c r="O275" s="569">
        <f>+IF(OR($Q275=Parametres!$G$2,$Q275=Parametres!$G$3),J275,D275)</f>
        <v>42397.120000000003</v>
      </c>
      <c r="P275" s="152">
        <f>+IF(OR($Q275=Parametres!$G$2,$Q275=Parametres!$G$3),K275,E275)</f>
        <v>708442.94</v>
      </c>
      <c r="Q275" s="151" t="str">
        <f t="shared" si="21"/>
        <v>6-Coût des ventes</v>
      </c>
      <c r="R275" s="150" t="str">
        <f t="shared" si="21"/>
        <v>4137</v>
      </c>
      <c r="S275" s="151">
        <f t="shared" si="21"/>
        <v>0</v>
      </c>
      <c r="T275" s="153">
        <f>+VLOOKUP($L275,Data_Validation!$A:$D,1,0)</f>
        <v>5137</v>
      </c>
      <c r="U275" s="153" t="str">
        <f>+VLOOKUP($L275,Data_Validation!$A:$D,3,0)</f>
        <v>Véhicules neufs</v>
      </c>
      <c r="V275" s="153" t="str">
        <f>+VLOOKUP($L275,Data_Validation!$A:$D,4,0)</f>
        <v>Flottes</v>
      </c>
      <c r="W275" s="153" t="str">
        <f>+VLOOKUP($L275,Data_Validation!$A:$E,5,0)</f>
        <v>$</v>
      </c>
      <c r="X275" s="153">
        <f>+VLOOKUP($L275,Data_Validation!$A:$F,6,0)</f>
        <v>0</v>
      </c>
    </row>
    <row r="276" spans="1:24" ht="15" customHeight="1">
      <c r="A276" s="1430" t="s">
        <v>2447</v>
      </c>
      <c r="B276" s="1431">
        <v>5139</v>
      </c>
      <c r="C276" s="1433">
        <v>2476450.65</v>
      </c>
      <c r="D276" s="1433">
        <v>484765.43</v>
      </c>
      <c r="E276" s="1433">
        <v>2961216.08</v>
      </c>
      <c r="F276" s="1430" t="s">
        <v>421</v>
      </c>
      <c r="G276" s="1430" t="s">
        <v>1998</v>
      </c>
      <c r="H276" s="1235"/>
      <c r="I276" s="1236"/>
      <c r="J276" s="1236"/>
      <c r="K276" s="1236"/>
      <c r="L276" s="150">
        <f t="shared" si="18"/>
        <v>5139</v>
      </c>
      <c r="M276" s="151" t="str">
        <f t="shared" si="19"/>
        <v>C/V - VW FLOTTE/VENTE ENTR/EMPLOYE/VEH DEMONS</v>
      </c>
      <c r="N276" s="152">
        <f>+IF(OR($Q276=Parametres!$G$2,$Q276=Parametres!$G$3),I276,C276)</f>
        <v>2476450.65</v>
      </c>
      <c r="O276" s="569">
        <f>+IF(OR($Q276=Parametres!$G$2,$Q276=Parametres!$G$3),J276,D276)</f>
        <v>484765.43</v>
      </c>
      <c r="P276" s="152">
        <f>+IF(OR($Q276=Parametres!$G$2,$Q276=Parametres!$G$3),K276,E276)</f>
        <v>2961216.08</v>
      </c>
      <c r="Q276" s="151" t="str">
        <f t="shared" si="21"/>
        <v>6-Coût des ventes</v>
      </c>
      <c r="R276" s="150" t="str">
        <f t="shared" si="21"/>
        <v>4139</v>
      </c>
      <c r="S276" s="151">
        <f t="shared" si="21"/>
        <v>0</v>
      </c>
      <c r="T276" s="153">
        <f>+VLOOKUP($L276,Data_Validation!$A:$D,1,0)</f>
        <v>5139</v>
      </c>
      <c r="U276" s="153" t="str">
        <f>+VLOOKUP($L276,Data_Validation!$A:$D,3,0)</f>
        <v>Véhicules neufs</v>
      </c>
      <c r="V276" s="153" t="str">
        <f>+VLOOKUP($L276,Data_Validation!$A:$D,4,0)</f>
        <v>Ex-Démos et courtoisies</v>
      </c>
      <c r="W276" s="153" t="str">
        <f>+VLOOKUP($L276,Data_Validation!$A:$E,5,0)</f>
        <v>$</v>
      </c>
      <c r="X276" s="153">
        <f>+VLOOKUP($L276,Data_Validation!$A:$F,6,0)</f>
        <v>0</v>
      </c>
    </row>
    <row r="277" spans="1:24" ht="15" customHeight="1">
      <c r="A277" s="1430" t="s">
        <v>2843</v>
      </c>
      <c r="B277" s="1431">
        <v>5201</v>
      </c>
      <c r="C277" s="1433">
        <v>6720912.8300000001</v>
      </c>
      <c r="D277" s="1433">
        <v>683310.9</v>
      </c>
      <c r="E277" s="1433">
        <v>7404223.7300000004</v>
      </c>
      <c r="F277" s="1430" t="s">
        <v>421</v>
      </c>
      <c r="G277" s="1430" t="s">
        <v>1994</v>
      </c>
      <c r="H277" s="1235"/>
      <c r="I277" s="1236"/>
      <c r="J277" s="1236"/>
      <c r="K277" s="1236"/>
      <c r="L277" s="150">
        <f t="shared" si="18"/>
        <v>5201</v>
      </c>
      <c r="M277" s="151" t="str">
        <f t="shared" si="19"/>
        <v>C/V - VEH.USAGE VW DETAIL CERTIFIE</v>
      </c>
      <c r="N277" s="152">
        <f>+IF(OR($Q277=Parametres!$G$2,$Q277=Parametres!$G$3),I277,C277)</f>
        <v>6720912.8300000001</v>
      </c>
      <c r="O277" s="569">
        <f>+IF(OR($Q277=Parametres!$G$2,$Q277=Parametres!$G$3),J277,D277)</f>
        <v>683310.9</v>
      </c>
      <c r="P277" s="152">
        <f>+IF(OR($Q277=Parametres!$G$2,$Q277=Parametres!$G$3),K277,E277)</f>
        <v>7404223.7300000004</v>
      </c>
      <c r="Q277" s="151" t="str">
        <f t="shared" si="21"/>
        <v>6-Coût des ventes</v>
      </c>
      <c r="R277" s="150" t="str">
        <f t="shared" si="21"/>
        <v>4201</v>
      </c>
      <c r="S277" s="151">
        <f t="shared" si="21"/>
        <v>0</v>
      </c>
      <c r="T277" s="153">
        <f>+VLOOKUP($L277,Data_Validation!$A:$D,1,0)</f>
        <v>5201</v>
      </c>
      <c r="U277" s="153" t="str">
        <f>+VLOOKUP($L277,Data_Validation!$A:$D,3,0)</f>
        <v>Véhicules usagés</v>
      </c>
      <c r="V277" s="153" t="str">
        <f>+VLOOKUP($L277,Data_Validation!$A:$D,4,0)</f>
        <v>Certifié</v>
      </c>
      <c r="W277" s="153" t="str">
        <f>+VLOOKUP($L277,Data_Validation!$A:$E,5,0)</f>
        <v>$</v>
      </c>
      <c r="X277" s="153">
        <f>+VLOOKUP($L277,Data_Validation!$A:$F,6,0)</f>
        <v>0</v>
      </c>
    </row>
    <row r="278" spans="1:24" ht="15" customHeight="1">
      <c r="A278" s="1430" t="s">
        <v>2821</v>
      </c>
      <c r="B278" s="1431">
        <v>5203</v>
      </c>
      <c r="C278" s="1433">
        <v>715017.72</v>
      </c>
      <c r="D278" s="1433">
        <v>88038.63</v>
      </c>
      <c r="E278" s="1433">
        <v>803056.35</v>
      </c>
      <c r="F278" s="1430" t="s">
        <v>421</v>
      </c>
      <c r="G278" s="1430" t="s">
        <v>1994</v>
      </c>
      <c r="H278" s="1235"/>
      <c r="I278" s="1236"/>
      <c r="J278" s="1236"/>
      <c r="K278" s="1236"/>
      <c r="L278" s="150">
        <f t="shared" si="18"/>
        <v>5203</v>
      </c>
      <c r="M278" s="151" t="str">
        <f t="shared" si="19"/>
        <v>C/V - RECOND USAGE VW CERT.</v>
      </c>
      <c r="N278" s="152">
        <f>+IF(OR($Q278=Parametres!$G$2,$Q278=Parametres!$G$3),I278,C278)</f>
        <v>715017.72</v>
      </c>
      <c r="O278" s="569">
        <f>+IF(OR($Q278=Parametres!$G$2,$Q278=Parametres!$G$3),J278,D278)</f>
        <v>88038.63</v>
      </c>
      <c r="P278" s="152">
        <f>+IF(OR($Q278=Parametres!$G$2,$Q278=Parametres!$G$3),K278,E278)</f>
        <v>803056.35</v>
      </c>
      <c r="Q278" s="151" t="str">
        <f t="shared" si="21"/>
        <v>6-Coût des ventes</v>
      </c>
      <c r="R278" s="150" t="str">
        <f t="shared" si="21"/>
        <v>4201</v>
      </c>
      <c r="S278" s="151">
        <f t="shared" si="21"/>
        <v>0</v>
      </c>
      <c r="T278" s="153">
        <f>+VLOOKUP($L278,Data_Validation!$A:$D,1,0)</f>
        <v>5203</v>
      </c>
      <c r="U278" s="153" t="str">
        <f>+VLOOKUP($L278,Data_Validation!$A:$D,3,0)</f>
        <v>Véhicules usagés</v>
      </c>
      <c r="V278" s="153" t="str">
        <f>+VLOOKUP($L278,Data_Validation!$A:$D,4,0)</f>
        <v>Certifié</v>
      </c>
      <c r="W278" s="153" t="str">
        <f>+VLOOKUP($L278,Data_Validation!$A:$E,5,0)</f>
        <v>$</v>
      </c>
      <c r="X278" s="153">
        <f>+VLOOKUP($L278,Data_Validation!$A:$F,6,0)</f>
        <v>0</v>
      </c>
    </row>
    <row r="279" spans="1:24" ht="15.75" customHeight="1">
      <c r="A279" s="1430" t="s">
        <v>2609</v>
      </c>
      <c r="B279" s="1431">
        <v>5211</v>
      </c>
      <c r="C279" s="1433">
        <v>3525</v>
      </c>
      <c r="D279" s="1433">
        <v>0</v>
      </c>
      <c r="E279" s="1433">
        <v>3525</v>
      </c>
      <c r="F279" s="1430" t="s">
        <v>421</v>
      </c>
      <c r="G279" s="1430" t="s">
        <v>2435</v>
      </c>
      <c r="H279" s="1235"/>
      <c r="I279" s="1236"/>
      <c r="J279" s="1236"/>
      <c r="K279" s="1236"/>
      <c r="L279" s="150">
        <f t="shared" si="18"/>
        <v>5211</v>
      </c>
      <c r="M279" s="151" t="str">
        <f t="shared" si="19"/>
        <v>C/V - VW USAGES DETAIL</v>
      </c>
      <c r="N279" s="152">
        <f>+IF(OR($Q279=Parametres!$G$2,$Q279=Parametres!$G$3),I279,C279)</f>
        <v>3525</v>
      </c>
      <c r="O279" s="569">
        <f>+IF(OR($Q279=Parametres!$G$2,$Q279=Parametres!$G$3),J279,D279)</f>
        <v>0</v>
      </c>
      <c r="P279" s="152">
        <f>+IF(OR($Q279=Parametres!$G$2,$Q279=Parametres!$G$3),K279,E279)</f>
        <v>3525</v>
      </c>
      <c r="Q279" s="151" t="str">
        <f t="shared" si="21"/>
        <v>6-Coût des ventes</v>
      </c>
      <c r="R279" s="150" t="str">
        <f t="shared" si="21"/>
        <v>4211</v>
      </c>
      <c r="S279" s="151">
        <f t="shared" si="21"/>
        <v>0</v>
      </c>
      <c r="T279" s="153">
        <f>+VLOOKUP($L279,Data_Validation!$A:$D,1,0)</f>
        <v>5211</v>
      </c>
      <c r="U279" s="153" t="str">
        <f>+VLOOKUP($L279,Data_Validation!$A:$D,3,0)</f>
        <v>Véhicules usagés</v>
      </c>
      <c r="V279" s="153" t="str">
        <f>+VLOOKUP($L279,Data_Validation!$A:$D,4,0)</f>
        <v>Non Certifié</v>
      </c>
      <c r="W279" s="153" t="str">
        <f>+VLOOKUP($L279,Data_Validation!$A:$E,5,0)</f>
        <v>$</v>
      </c>
      <c r="X279" s="153">
        <f>+VLOOKUP($L279,Data_Validation!$A:$F,6,0)</f>
        <v>0</v>
      </c>
    </row>
    <row r="280" spans="1:24" ht="15" customHeight="1">
      <c r="A280" s="1430" t="s">
        <v>2449</v>
      </c>
      <c r="B280" s="1431">
        <v>5213</v>
      </c>
      <c r="C280" s="1433">
        <v>-970.41</v>
      </c>
      <c r="D280" s="1433">
        <v>0</v>
      </c>
      <c r="E280" s="1433">
        <v>-970.41</v>
      </c>
      <c r="F280" s="1430" t="s">
        <v>421</v>
      </c>
      <c r="G280" s="1430" t="s">
        <v>2435</v>
      </c>
      <c r="H280" s="1235"/>
      <c r="I280" s="1236"/>
      <c r="J280" s="1236"/>
      <c r="K280" s="1236"/>
      <c r="L280" s="150">
        <f t="shared" si="18"/>
        <v>5213</v>
      </c>
      <c r="M280" s="151" t="str">
        <f t="shared" si="19"/>
        <v>C/V - RECOND. USAGE VW DETAIL</v>
      </c>
      <c r="N280" s="152">
        <f>+IF(OR($Q280=Parametres!$G$2,$Q280=Parametres!$G$3),I280,C280)</f>
        <v>-970.41</v>
      </c>
      <c r="O280" s="569">
        <f>+IF(OR($Q280=Parametres!$G$2,$Q280=Parametres!$G$3),J280,D280)</f>
        <v>0</v>
      </c>
      <c r="P280" s="152">
        <f>+IF(OR($Q280=Parametres!$G$2,$Q280=Parametres!$G$3),K280,E280)</f>
        <v>-970.41</v>
      </c>
      <c r="Q280" s="151" t="str">
        <f t="shared" si="21"/>
        <v>6-Coût des ventes</v>
      </c>
      <c r="R280" s="150" t="str">
        <f t="shared" si="21"/>
        <v>4211</v>
      </c>
      <c r="S280" s="151">
        <f t="shared" si="21"/>
        <v>0</v>
      </c>
      <c r="T280" s="153">
        <f>+VLOOKUP($L280,Data_Validation!$A:$D,1,0)</f>
        <v>5213</v>
      </c>
      <c r="U280" s="153" t="str">
        <f>+VLOOKUP($L280,Data_Validation!$A:$D,3,0)</f>
        <v>Véhicules usagés</v>
      </c>
      <c r="V280" s="153" t="str">
        <f>+VLOOKUP($L280,Data_Validation!$A:$D,4,0)</f>
        <v>Non Certifié</v>
      </c>
      <c r="W280" s="153" t="str">
        <f>+VLOOKUP($L280,Data_Validation!$A:$E,5,0)</f>
        <v>$</v>
      </c>
      <c r="X280" s="153">
        <f>+VLOOKUP($L280,Data_Validation!$A:$F,6,0)</f>
        <v>0</v>
      </c>
    </row>
    <row r="281" spans="1:24" ht="15" customHeight="1">
      <c r="A281" s="1430" t="s">
        <v>2031</v>
      </c>
      <c r="B281" s="1431">
        <v>5285</v>
      </c>
      <c r="C281" s="1433">
        <v>189967.3</v>
      </c>
      <c r="D281" s="1433">
        <v>69015</v>
      </c>
      <c r="E281" s="1433">
        <v>258982.3</v>
      </c>
      <c r="F281" s="1430" t="s">
        <v>421</v>
      </c>
      <c r="G281" s="1430" t="s">
        <v>2033</v>
      </c>
      <c r="H281" s="1235"/>
      <c r="I281" s="1236"/>
      <c r="J281" s="1236"/>
      <c r="K281" s="1236"/>
      <c r="L281" s="150">
        <f t="shared" si="18"/>
        <v>5285</v>
      </c>
      <c r="M281" s="151" t="str">
        <f t="shared" si="19"/>
        <v>VEH. D'OCC. AUTRE DETAIL</v>
      </c>
      <c r="N281" s="152">
        <f>+IF(OR($Q281=Parametres!$G$2,$Q281=Parametres!$G$3),I281,C281)</f>
        <v>189967.3</v>
      </c>
      <c r="O281" s="569">
        <f>+IF(OR($Q281=Parametres!$G$2,$Q281=Parametres!$G$3),J281,D281)</f>
        <v>69015</v>
      </c>
      <c r="P281" s="152">
        <f>+IF(OR($Q281=Parametres!$G$2,$Q281=Parametres!$G$3),K281,E281)</f>
        <v>258982.3</v>
      </c>
      <c r="Q281" s="151" t="str">
        <f t="shared" si="21"/>
        <v>6-Coût des ventes</v>
      </c>
      <c r="R281" s="150" t="str">
        <f t="shared" si="21"/>
        <v>4261</v>
      </c>
      <c r="S281" s="151">
        <f t="shared" si="21"/>
        <v>0</v>
      </c>
      <c r="T281" s="153">
        <f>+VLOOKUP($L281,Data_Validation!$A:$D,1,0)</f>
        <v>5285</v>
      </c>
      <c r="U281" s="153" t="str">
        <f>+VLOOKUP($L281,Data_Validation!$A:$D,3,0)</f>
        <v>Véhicules usagés</v>
      </c>
      <c r="V281" s="153" t="str">
        <f>+VLOOKUP($L281,Data_Validation!$A:$D,4,0)</f>
        <v>Non Certifié</v>
      </c>
      <c r="W281" s="153" t="str">
        <f>+VLOOKUP($L281,Data_Validation!$A:$E,5,0)</f>
        <v>$</v>
      </c>
      <c r="X281" s="153">
        <f>+VLOOKUP($L281,Data_Validation!$A:$F,6,0)</f>
        <v>0</v>
      </c>
    </row>
    <row r="282" spans="1:24" ht="15" customHeight="1">
      <c r="A282" s="1430" t="s">
        <v>2663</v>
      </c>
      <c r="B282" s="1431">
        <v>5286</v>
      </c>
      <c r="C282" s="1433">
        <v>8237.4699999999993</v>
      </c>
      <c r="D282" s="1433">
        <v>688.49</v>
      </c>
      <c r="E282" s="1433">
        <v>8925.9599999999991</v>
      </c>
      <c r="F282" s="1430" t="s">
        <v>421</v>
      </c>
      <c r="G282" s="1430" t="s">
        <v>2033</v>
      </c>
      <c r="H282" s="1235"/>
      <c r="I282" s="1235"/>
      <c r="J282" s="1235"/>
      <c r="K282" s="1235"/>
      <c r="L282" s="150">
        <f t="shared" si="18"/>
        <v>5286</v>
      </c>
      <c r="M282" s="151" t="str">
        <f t="shared" si="19"/>
        <v>RECOND. AUTRE DETAIL</v>
      </c>
      <c r="N282" s="152">
        <f>+IF(OR($Q282=Parametres!$G$2,$Q282=Parametres!$G$3),I282,C282)</f>
        <v>8237.4699999999993</v>
      </c>
      <c r="O282" s="569">
        <f>+IF(OR($Q282=Parametres!$G$2,$Q282=Parametres!$G$3),J282,D282)</f>
        <v>688.49</v>
      </c>
      <c r="P282" s="152">
        <f>+IF(OR($Q282=Parametres!$G$2,$Q282=Parametres!$G$3),K282,E282)</f>
        <v>8925.9599999999991</v>
      </c>
      <c r="Q282" s="151" t="str">
        <f t="shared" si="21"/>
        <v>6-Coût des ventes</v>
      </c>
      <c r="R282" s="150" t="str">
        <f t="shared" si="21"/>
        <v>4261</v>
      </c>
      <c r="S282" s="151">
        <f t="shared" si="21"/>
        <v>0</v>
      </c>
      <c r="T282" s="153">
        <f>+VLOOKUP($L282,Data_Validation!$A:$D,1,0)</f>
        <v>5286</v>
      </c>
      <c r="U282" s="153" t="str">
        <f>+VLOOKUP($L282,Data_Validation!$A:$D,3,0)</f>
        <v>Véhicules usagés</v>
      </c>
      <c r="V282" s="153" t="str">
        <f>+VLOOKUP($L282,Data_Validation!$A:$D,4,0)</f>
        <v>Non Certifié</v>
      </c>
      <c r="W282" s="153" t="str">
        <f>+VLOOKUP($L282,Data_Validation!$A:$E,5,0)</f>
        <v>$</v>
      </c>
      <c r="X282" s="153">
        <f>+VLOOKUP($L282,Data_Validation!$A:$F,6,0)</f>
        <v>0</v>
      </c>
    </row>
    <row r="283" spans="1:24" ht="15.75" customHeight="1">
      <c r="A283" s="1430" t="s">
        <v>1999</v>
      </c>
      <c r="B283" s="1431">
        <v>5291</v>
      </c>
      <c r="C283" s="1433">
        <v>4546390.5199999996</v>
      </c>
      <c r="D283" s="1433">
        <v>1053837.72</v>
      </c>
      <c r="E283" s="1433">
        <v>5600228.2400000002</v>
      </c>
      <c r="F283" s="1430" t="s">
        <v>421</v>
      </c>
      <c r="G283" s="1430" t="s">
        <v>2001</v>
      </c>
      <c r="H283" s="1235"/>
      <c r="I283" s="1235"/>
      <c r="J283" s="1235"/>
      <c r="K283" s="1235"/>
      <c r="L283" s="150">
        <f t="shared" si="18"/>
        <v>5291</v>
      </c>
      <c r="M283" s="151" t="str">
        <f t="shared" si="19"/>
        <v>VEH. D'OCC. AU GROS</v>
      </c>
      <c r="N283" s="152">
        <f>+IF(OR($Q283=Parametres!$G$2,$Q283=Parametres!$G$3),I283,C283)</f>
        <v>4546390.5199999996</v>
      </c>
      <c r="O283" s="569">
        <f>+IF(OR($Q283=Parametres!$G$2,$Q283=Parametres!$G$3),J283,D283)</f>
        <v>1053837.72</v>
      </c>
      <c r="P283" s="152">
        <f>+IF(OR($Q283=Parametres!$G$2,$Q283=Parametres!$G$3),K283,E283)</f>
        <v>5600228.2400000002</v>
      </c>
      <c r="Q283" s="151" t="str">
        <f t="shared" si="21"/>
        <v>6-Coût des ventes</v>
      </c>
      <c r="R283" s="150" t="str">
        <f t="shared" si="21"/>
        <v>4281</v>
      </c>
      <c r="S283" s="151">
        <f t="shared" si="21"/>
        <v>0</v>
      </c>
      <c r="T283" s="153">
        <f>+VLOOKUP($L283,Data_Validation!$A:$D,1,0)</f>
        <v>5291</v>
      </c>
      <c r="U283" s="153" t="str">
        <f>+VLOOKUP($L283,Data_Validation!$A:$D,3,0)</f>
        <v>Véhicules usagés</v>
      </c>
      <c r="V283" s="153" t="str">
        <f>+VLOOKUP($L283,Data_Validation!$A:$D,4,0)</f>
        <v>Ventes au Gros</v>
      </c>
      <c r="W283" s="153" t="str">
        <f>+VLOOKUP($L283,Data_Validation!$A:$E,5,0)</f>
        <v>$</v>
      </c>
      <c r="X283" s="153">
        <f>+VLOOKUP($L283,Data_Validation!$A:$F,6,0)</f>
        <v>0</v>
      </c>
    </row>
    <row r="284" spans="1:24" ht="15" customHeight="1">
      <c r="A284" s="1430" t="s">
        <v>2819</v>
      </c>
      <c r="B284" s="1431">
        <v>5401</v>
      </c>
      <c r="C284" s="1433">
        <v>215732.28</v>
      </c>
      <c r="D284" s="1433">
        <v>52725.7</v>
      </c>
      <c r="E284" s="1433">
        <v>268457.98</v>
      </c>
      <c r="F284" s="1430" t="s">
        <v>421</v>
      </c>
      <c r="G284" s="1430" t="s">
        <v>2005</v>
      </c>
      <c r="H284" s="1235"/>
      <c r="I284" s="1235"/>
      <c r="J284" s="1235"/>
      <c r="K284" s="1235"/>
      <c r="L284" s="150">
        <f t="shared" si="18"/>
        <v>5401</v>
      </c>
      <c r="M284" s="151" t="str">
        <f t="shared" si="19"/>
        <v>COUT M.O. MECANIQUE CLIENTS</v>
      </c>
      <c r="N284" s="152">
        <f>+IF(OR($Q284=Parametres!$G$2,$Q284=Parametres!$G$3),I284,C284)</f>
        <v>215732.28</v>
      </c>
      <c r="O284" s="569">
        <f>+IF(OR($Q284=Parametres!$G$2,$Q284=Parametres!$G$3),J284,D284)</f>
        <v>52725.7</v>
      </c>
      <c r="P284" s="152">
        <f>+IF(OR($Q284=Parametres!$G$2,$Q284=Parametres!$G$3),K284,E284)</f>
        <v>268457.98</v>
      </c>
      <c r="Q284" s="151" t="str">
        <f t="shared" si="21"/>
        <v>6-Coût des ventes</v>
      </c>
      <c r="R284" s="150" t="str">
        <f t="shared" si="21"/>
        <v>4401</v>
      </c>
      <c r="S284" s="151">
        <f t="shared" si="21"/>
        <v>0</v>
      </c>
      <c r="T284" s="153">
        <f>+VLOOKUP($L284,Data_Validation!$A:$D,1,0)</f>
        <v>5401</v>
      </c>
      <c r="U284" s="153" t="str">
        <f>+VLOOKUP($L284,Data_Validation!$A:$D,3,0)</f>
        <v>Service</v>
      </c>
      <c r="V284" s="153" t="str">
        <f>+VLOOKUP($L284,Data_Validation!$A:$D,4,0)</f>
        <v>M/O Client</v>
      </c>
      <c r="W284" s="153" t="str">
        <f>+VLOOKUP($L284,Data_Validation!$A:$E,5,0)</f>
        <v>$</v>
      </c>
      <c r="X284" s="153">
        <f>+VLOOKUP($L284,Data_Validation!$A:$F,6,0)</f>
        <v>0</v>
      </c>
    </row>
    <row r="285" spans="1:24" ht="15" customHeight="1">
      <c r="A285" s="1430" t="s">
        <v>2557</v>
      </c>
      <c r="B285" s="1431">
        <v>5402</v>
      </c>
      <c r="C285" s="1433">
        <v>2778.44</v>
      </c>
      <c r="D285" s="1433">
        <v>27.96</v>
      </c>
      <c r="E285" s="1433">
        <v>2806.4</v>
      </c>
      <c r="F285" s="1430" t="s">
        <v>421</v>
      </c>
      <c r="G285" s="1430" t="s">
        <v>2185</v>
      </c>
      <c r="H285" s="1235"/>
      <c r="I285" s="1235"/>
      <c r="J285" s="1235"/>
      <c r="K285" s="1235"/>
      <c r="L285" s="150">
        <f t="shared" si="18"/>
        <v>5402</v>
      </c>
      <c r="M285" s="151" t="str">
        <f t="shared" si="19"/>
        <v>C/V - M.O. ESTHETIQUE CLIENT</v>
      </c>
      <c r="N285" s="152">
        <f>+IF(OR($Q285=Parametres!$G$2,$Q285=Parametres!$G$3),I285,C285)</f>
        <v>2778.44</v>
      </c>
      <c r="O285" s="569">
        <f>+IF(OR($Q285=Parametres!$G$2,$Q285=Parametres!$G$3),J285,D285)</f>
        <v>27.96</v>
      </c>
      <c r="P285" s="152">
        <f>+IF(OR($Q285=Parametres!$G$2,$Q285=Parametres!$G$3),K285,E285)</f>
        <v>2806.4</v>
      </c>
      <c r="Q285" s="151" t="str">
        <f t="shared" si="21"/>
        <v>6-Coût des ventes</v>
      </c>
      <c r="R285" s="150" t="str">
        <f t="shared" si="21"/>
        <v>4402</v>
      </c>
      <c r="S285" s="151">
        <f t="shared" si="21"/>
        <v>0</v>
      </c>
      <c r="T285" s="153">
        <f>+VLOOKUP($L285,Data_Validation!$A:$D,1,0)</f>
        <v>5402</v>
      </c>
      <c r="U285" s="153" t="str">
        <f>+VLOOKUP($L285,Data_Validation!$A:$D,3,0)</f>
        <v>Service</v>
      </c>
      <c r="V285" s="153" t="str">
        <f>+VLOOKUP($L285,Data_Validation!$A:$D,4,0)</f>
        <v>M/O Esthétique</v>
      </c>
      <c r="W285" s="153" t="str">
        <f>+VLOOKUP($L285,Data_Validation!$A:$E,5,0)</f>
        <v>$</v>
      </c>
      <c r="X285" s="153">
        <f>+VLOOKUP($L285,Data_Validation!$A:$F,6,0)</f>
        <v>0</v>
      </c>
    </row>
    <row r="286" spans="1:24" ht="15" customHeight="1">
      <c r="A286" s="1430" t="s">
        <v>2782</v>
      </c>
      <c r="B286" s="1431">
        <v>5403</v>
      </c>
      <c r="C286" s="1433">
        <v>161262.5</v>
      </c>
      <c r="D286" s="1433">
        <v>7786.18</v>
      </c>
      <c r="E286" s="1433">
        <v>169048.68</v>
      </c>
      <c r="F286" s="1430" t="s">
        <v>421</v>
      </c>
      <c r="G286" s="1430" t="s">
        <v>2035</v>
      </c>
      <c r="H286" s="1235"/>
      <c r="I286" s="1235"/>
      <c r="J286" s="1235"/>
      <c r="K286" s="1235"/>
      <c r="L286" s="150">
        <f t="shared" si="18"/>
        <v>5403</v>
      </c>
      <c r="M286" s="151" t="str">
        <f t="shared" si="19"/>
        <v>COUT MEC VENTE GARANTIE MANUF</v>
      </c>
      <c r="N286" s="152">
        <f>+IF(OR($Q286=Parametres!$G$2,$Q286=Parametres!$G$3),I286,C286)</f>
        <v>161262.5</v>
      </c>
      <c r="O286" s="569">
        <f>+IF(OR($Q286=Parametres!$G$2,$Q286=Parametres!$G$3),J286,D286)</f>
        <v>7786.18</v>
      </c>
      <c r="P286" s="152">
        <f>+IF(OR($Q286=Parametres!$G$2,$Q286=Parametres!$G$3),K286,E286)</f>
        <v>169048.68</v>
      </c>
      <c r="Q286" s="151" t="str">
        <f t="shared" si="21"/>
        <v>6-Coût des ventes</v>
      </c>
      <c r="R286" s="150" t="str">
        <f t="shared" si="21"/>
        <v>4403</v>
      </c>
      <c r="S286" s="151">
        <f t="shared" si="21"/>
        <v>0</v>
      </c>
      <c r="T286" s="153">
        <f>+VLOOKUP($L286,Data_Validation!$A:$D,1,0)</f>
        <v>5403</v>
      </c>
      <c r="U286" s="153" t="str">
        <f>+VLOOKUP($L286,Data_Validation!$A:$D,3,0)</f>
        <v>Service</v>
      </c>
      <c r="V286" s="153" t="str">
        <f>+VLOOKUP($L286,Data_Validation!$A:$D,4,0)</f>
        <v>M/O Garantie</v>
      </c>
      <c r="W286" s="153" t="str">
        <f>+VLOOKUP($L286,Data_Validation!$A:$E,5,0)</f>
        <v>$</v>
      </c>
      <c r="X286" s="153">
        <f>+VLOOKUP($L286,Data_Validation!$A:$F,6,0)</f>
        <v>0</v>
      </c>
    </row>
    <row r="287" spans="1:24" ht="15.75" customHeight="1">
      <c r="A287" s="1430" t="s">
        <v>2768</v>
      </c>
      <c r="B287" s="1431">
        <v>5405</v>
      </c>
      <c r="C287" s="1433">
        <v>144646.07999999999</v>
      </c>
      <c r="D287" s="1433">
        <v>12872.12</v>
      </c>
      <c r="E287" s="1433">
        <v>157518.20000000001</v>
      </c>
      <c r="F287" s="1430" t="s">
        <v>421</v>
      </c>
      <c r="G287" s="1430" t="s">
        <v>2045</v>
      </c>
      <c r="H287" s="1235"/>
      <c r="I287" s="1235"/>
      <c r="J287" s="1235"/>
      <c r="K287" s="1235"/>
      <c r="L287" s="150">
        <f t="shared" si="18"/>
        <v>5405</v>
      </c>
      <c r="M287" s="151" t="str">
        <f t="shared" si="19"/>
        <v>C D V VENTES M OINTERNE</v>
      </c>
      <c r="N287" s="152">
        <f>+IF(OR($Q287=Parametres!$G$2,$Q287=Parametres!$G$3),I287,C287)</f>
        <v>144646.07999999999</v>
      </c>
      <c r="O287" s="569">
        <f>+IF(OR($Q287=Parametres!$G$2,$Q287=Parametres!$G$3),J287,D287)</f>
        <v>12872.12</v>
      </c>
      <c r="P287" s="152">
        <f>+IF(OR($Q287=Parametres!$G$2,$Q287=Parametres!$G$3),K287,E287)</f>
        <v>157518.20000000001</v>
      </c>
      <c r="Q287" s="151" t="str">
        <f t="shared" si="21"/>
        <v>6-Coût des ventes</v>
      </c>
      <c r="R287" s="150" t="str">
        <f t="shared" si="21"/>
        <v>4405</v>
      </c>
      <c r="S287" s="151">
        <f t="shared" si="21"/>
        <v>0</v>
      </c>
      <c r="T287" s="153">
        <f>+VLOOKUP($L287,Data_Validation!$A:$D,1,0)</f>
        <v>5405</v>
      </c>
      <c r="U287" s="153" t="str">
        <f>+VLOOKUP($L287,Data_Validation!$A:$D,3,0)</f>
        <v>Service</v>
      </c>
      <c r="V287" s="153" t="str">
        <f>+VLOOKUP($L287,Data_Validation!$A:$D,4,0)</f>
        <v>M/O Interne</v>
      </c>
      <c r="W287" s="153" t="str">
        <f>+VLOOKUP($L287,Data_Validation!$A:$E,5,0)</f>
        <v>$</v>
      </c>
      <c r="X287" s="153">
        <f>+VLOOKUP($L287,Data_Validation!$A:$F,6,0)</f>
        <v>0</v>
      </c>
    </row>
    <row r="288" spans="1:24" ht="15" customHeight="1">
      <c r="A288" s="1430" t="s">
        <v>2716</v>
      </c>
      <c r="B288" s="1431">
        <v>5416</v>
      </c>
      <c r="C288" s="1433">
        <v>29847.279999999999</v>
      </c>
      <c r="D288" s="1433">
        <v>5555.88</v>
      </c>
      <c r="E288" s="1433">
        <v>35403.160000000003</v>
      </c>
      <c r="F288" s="1430" t="s">
        <v>421</v>
      </c>
      <c r="G288" s="1430" t="s">
        <v>2718</v>
      </c>
      <c r="H288" s="1235"/>
      <c r="I288" s="1235"/>
      <c r="J288" s="1235"/>
      <c r="K288" s="1235"/>
      <c r="L288" s="150">
        <f t="shared" si="18"/>
        <v>5416</v>
      </c>
      <c r="M288" s="151" t="str">
        <f t="shared" si="19"/>
        <v>C/V - TEMPS MORT M.O. SERVICE</v>
      </c>
      <c r="N288" s="152">
        <f>+IF(OR($Q288=Parametres!$G$2,$Q288=Parametres!$G$3),I288,C288)</f>
        <v>29847.279999999999</v>
      </c>
      <c r="O288" s="569">
        <f>+IF(OR($Q288=Parametres!$G$2,$Q288=Parametres!$G$3),J288,D288)</f>
        <v>5555.88</v>
      </c>
      <c r="P288" s="152">
        <f>+IF(OR($Q288=Parametres!$G$2,$Q288=Parametres!$G$3),K288,E288)</f>
        <v>35403.160000000003</v>
      </c>
      <c r="Q288" s="151" t="str">
        <f t="shared" si="21"/>
        <v>6-Coût des ventes</v>
      </c>
      <c r="R288" s="150" t="str">
        <f t="shared" si="21"/>
        <v>4416</v>
      </c>
      <c r="S288" s="151">
        <f t="shared" si="21"/>
        <v>0</v>
      </c>
      <c r="T288" s="153">
        <f>+VLOOKUP($L288,Data_Validation!$A:$D,1,0)</f>
        <v>5416</v>
      </c>
      <c r="U288" s="153" t="str">
        <f>+VLOOKUP($L288,Data_Validation!$A:$D,3,0)</f>
        <v>Service</v>
      </c>
      <c r="V288" s="153" t="str">
        <f>+VLOOKUP($L288,Data_Validation!$A:$D,4,0)</f>
        <v>Ajustement M/O</v>
      </c>
      <c r="W288" s="153" t="str">
        <f>+VLOOKUP($L288,Data_Validation!$A:$E,5,0)</f>
        <v>$</v>
      </c>
      <c r="X288" s="153">
        <f>+VLOOKUP($L288,Data_Validation!$A:$F,6,0)</f>
        <v>0</v>
      </c>
    </row>
    <row r="289" spans="1:24" ht="15" customHeight="1">
      <c r="A289" s="1430" t="s">
        <v>2064</v>
      </c>
      <c r="B289" s="1431">
        <v>5451</v>
      </c>
      <c r="C289" s="1433">
        <v>125109.09</v>
      </c>
      <c r="D289" s="1433">
        <v>22162.58</v>
      </c>
      <c r="E289" s="1433">
        <v>147271.67000000001</v>
      </c>
      <c r="F289" s="1430" t="s">
        <v>421</v>
      </c>
      <c r="G289" s="1430" t="s">
        <v>2066</v>
      </c>
      <c r="H289" s="1233"/>
      <c r="I289" s="1234"/>
      <c r="J289" s="1234"/>
      <c r="K289" s="1234"/>
      <c r="L289" s="150">
        <f t="shared" si="18"/>
        <v>5451</v>
      </c>
      <c r="M289" s="151" t="str">
        <f t="shared" si="19"/>
        <v>CARBURANT/HUILE/GRAISSE</v>
      </c>
      <c r="N289" s="152">
        <f>+IF(OR($Q289=Parametres!$G$2,$Q289=Parametres!$G$3),I289,C289)</f>
        <v>125109.09</v>
      </c>
      <c r="O289" s="569">
        <f>+IF(OR($Q289=Parametres!$G$2,$Q289=Parametres!$G$3),J289,D289)</f>
        <v>22162.58</v>
      </c>
      <c r="P289" s="152">
        <f>+IF(OR($Q289=Parametres!$G$2,$Q289=Parametres!$G$3),K289,E289)</f>
        <v>147271.67000000001</v>
      </c>
      <c r="Q289" s="151" t="str">
        <f t="shared" si="21"/>
        <v>6-Coût des ventes</v>
      </c>
      <c r="R289" s="150" t="str">
        <f t="shared" si="21"/>
        <v>4782</v>
      </c>
      <c r="S289" s="151">
        <f t="shared" si="21"/>
        <v>0</v>
      </c>
      <c r="T289" s="153">
        <f>+VLOOKUP($L289,Data_Validation!$A:$D,1,0)</f>
        <v>5451</v>
      </c>
      <c r="U289" s="153" t="str">
        <f>+VLOOKUP($L289,Data_Validation!$A:$D,3,0)</f>
        <v>Pièces</v>
      </c>
      <c r="V289" s="153" t="str">
        <f>+VLOOKUP($L289,Data_Validation!$A:$D,4,0)</f>
        <v>Huiles et Graisse</v>
      </c>
      <c r="W289" s="153" t="str">
        <f>+VLOOKUP($L289,Data_Validation!$A:$E,5,0)</f>
        <v>$</v>
      </c>
      <c r="X289" s="153">
        <f>+VLOOKUP($L289,Data_Validation!$A:$F,6,0)</f>
        <v>0</v>
      </c>
    </row>
    <row r="290" spans="1:24" ht="15" customHeight="1">
      <c r="A290" s="1430" t="s">
        <v>2137</v>
      </c>
      <c r="B290" s="1431">
        <v>5491</v>
      </c>
      <c r="C290" s="1433">
        <v>9942.92</v>
      </c>
      <c r="D290" s="1433">
        <v>2568</v>
      </c>
      <c r="E290" s="1433">
        <v>12510.92</v>
      </c>
      <c r="F290" s="1430" t="s">
        <v>421</v>
      </c>
      <c r="G290" s="1430" t="s">
        <v>2138</v>
      </c>
      <c r="H290" s="1233"/>
      <c r="I290" s="1234"/>
      <c r="J290" s="1234"/>
      <c r="K290" s="1234"/>
      <c r="L290" s="150">
        <f t="shared" si="18"/>
        <v>5491</v>
      </c>
      <c r="M290" s="151" t="str">
        <f t="shared" si="19"/>
        <v>REPARATION SOUS-LOC. - GENERAL</v>
      </c>
      <c r="N290" s="152">
        <f>+IF(OR($Q290=Parametres!$G$2,$Q290=Parametres!$G$3),I290,C290)</f>
        <v>9942.92</v>
      </c>
      <c r="O290" s="569">
        <f>+IF(OR($Q290=Parametres!$G$2,$Q290=Parametres!$G$3),J290,D290)</f>
        <v>2568</v>
      </c>
      <c r="P290" s="152">
        <f>+IF(OR($Q290=Parametres!$G$2,$Q290=Parametres!$G$3),K290,E290)</f>
        <v>12510.92</v>
      </c>
      <c r="Q290" s="151" t="str">
        <f t="shared" ref="Q290:S305" si="22">+F290</f>
        <v>6-Coût des ventes</v>
      </c>
      <c r="R290" s="150" t="str">
        <f t="shared" si="22"/>
        <v>4491</v>
      </c>
      <c r="S290" s="151">
        <f t="shared" si="22"/>
        <v>0</v>
      </c>
      <c r="T290" s="153">
        <f>+VLOOKUP($L290,Data_Validation!$A:$D,1,0)</f>
        <v>5491</v>
      </c>
      <c r="U290" s="153" t="str">
        <f>+VLOOKUP($L290,Data_Validation!$A:$D,3,0)</f>
        <v>Service</v>
      </c>
      <c r="V290" s="153" t="str">
        <f>+VLOOKUP($L290,Data_Validation!$A:$D,4,0)</f>
        <v>Sous-traitement</v>
      </c>
      <c r="W290" s="153" t="str">
        <f>+VLOOKUP($L290,Data_Validation!$A:$E,5,0)</f>
        <v>$</v>
      </c>
      <c r="X290" s="153">
        <f>+VLOOKUP($L290,Data_Validation!$A:$F,6,0)</f>
        <v>0</v>
      </c>
    </row>
    <row r="291" spans="1:24" ht="15.75" customHeight="1">
      <c r="A291" s="1430" t="s">
        <v>2678</v>
      </c>
      <c r="B291" s="1431">
        <v>5493</v>
      </c>
      <c r="C291" s="1433">
        <v>19542.509999999998</v>
      </c>
      <c r="D291" s="1433">
        <v>576.5</v>
      </c>
      <c r="E291" s="1433">
        <v>20119.009999999998</v>
      </c>
      <c r="F291" s="1430" t="s">
        <v>421</v>
      </c>
      <c r="G291" s="1430" t="s">
        <v>2161</v>
      </c>
      <c r="H291" s="1233"/>
      <c r="I291" s="1234"/>
      <c r="J291" s="1234"/>
      <c r="K291" s="1234"/>
      <c r="L291" s="150">
        <f t="shared" si="18"/>
        <v>5493</v>
      </c>
      <c r="M291" s="151" t="str">
        <f t="shared" si="19"/>
        <v>C/V - SOUS-TRAITANCE GARANTIE</v>
      </c>
      <c r="N291" s="152">
        <f>+IF(OR($Q291=Parametres!$G$2,$Q291=Parametres!$G$3),I291,C291)</f>
        <v>19542.509999999998</v>
      </c>
      <c r="O291" s="569">
        <f>+IF(OR($Q291=Parametres!$G$2,$Q291=Parametres!$G$3),J291,D291)</f>
        <v>576.5</v>
      </c>
      <c r="P291" s="152">
        <f>+IF(OR($Q291=Parametres!$G$2,$Q291=Parametres!$G$3),K291,E291)</f>
        <v>20119.009999999998</v>
      </c>
      <c r="Q291" s="151" t="str">
        <f t="shared" si="22"/>
        <v>6-Coût des ventes</v>
      </c>
      <c r="R291" s="150" t="str">
        <f t="shared" si="22"/>
        <v>4493</v>
      </c>
      <c r="S291" s="151">
        <f t="shared" si="22"/>
        <v>0</v>
      </c>
      <c r="T291" s="153">
        <f>+VLOOKUP($L291,Data_Validation!$A:$D,1,0)</f>
        <v>5493</v>
      </c>
      <c r="U291" s="153" t="str">
        <f>+VLOOKUP($L291,Data_Validation!$A:$D,3,0)</f>
        <v>Service</v>
      </c>
      <c r="V291" s="153" t="str">
        <f>+VLOOKUP($L291,Data_Validation!$A:$D,4,0)</f>
        <v>Sous-traitement</v>
      </c>
      <c r="W291" s="153" t="str">
        <f>+VLOOKUP($L291,Data_Validation!$A:$E,5,0)</f>
        <v>$</v>
      </c>
      <c r="X291" s="153">
        <f>+VLOOKUP($L291,Data_Validation!$A:$F,6,0)</f>
        <v>0</v>
      </c>
    </row>
    <row r="292" spans="1:24" ht="15" customHeight="1">
      <c r="A292" s="1430" t="s">
        <v>2780</v>
      </c>
      <c r="B292" s="1431">
        <v>5495</v>
      </c>
      <c r="C292" s="1433">
        <v>151409.73000000001</v>
      </c>
      <c r="D292" s="1433">
        <v>13103</v>
      </c>
      <c r="E292" s="1433">
        <v>164512.73000000001</v>
      </c>
      <c r="F292" s="1430" t="s">
        <v>421</v>
      </c>
      <c r="G292" s="1430" t="s">
        <v>2080</v>
      </c>
      <c r="H292" s="1233"/>
      <c r="I292" s="1234"/>
      <c r="J292" s="1234"/>
      <c r="K292" s="1234"/>
      <c r="L292" s="150">
        <f t="shared" si="18"/>
        <v>5495</v>
      </c>
      <c r="M292" s="151" t="str">
        <f t="shared" si="19"/>
        <v>C/V - SOUS-TRAITANCE INTERNE</v>
      </c>
      <c r="N292" s="152">
        <f>+IF(OR($Q292=Parametres!$G$2,$Q292=Parametres!$G$3),I292,C292)</f>
        <v>151409.73000000001</v>
      </c>
      <c r="O292" s="152">
        <f>+IF(OR($Q292=Parametres!$G$2,$Q292=Parametres!$G$3),J292,D292)</f>
        <v>13103</v>
      </c>
      <c r="P292" s="152">
        <f>+IF(OR($Q292=Parametres!$G$2,$Q292=Parametres!$G$3),K292,E292)</f>
        <v>164512.73000000001</v>
      </c>
      <c r="Q292" s="151" t="str">
        <f t="shared" si="22"/>
        <v>6-Coût des ventes</v>
      </c>
      <c r="R292" s="150" t="str">
        <f t="shared" si="22"/>
        <v>4495</v>
      </c>
      <c r="S292" s="151">
        <f t="shared" si="22"/>
        <v>0</v>
      </c>
      <c r="T292" s="153">
        <f>+VLOOKUP($L292,Data_Validation!$A:$D,1,0)</f>
        <v>5495</v>
      </c>
      <c r="U292" s="153" t="str">
        <f>+VLOOKUP($L292,Data_Validation!$A:$D,3,0)</f>
        <v>Service</v>
      </c>
      <c r="V292" s="153" t="str">
        <f>+VLOOKUP($L292,Data_Validation!$A:$D,4,0)</f>
        <v>Sous-traitement</v>
      </c>
      <c r="W292" s="153" t="str">
        <f>+VLOOKUP($L292,Data_Validation!$A:$E,5,0)</f>
        <v>$</v>
      </c>
      <c r="X292" s="153">
        <f>+VLOOKUP($L292,Data_Validation!$A:$F,6,0)</f>
        <v>0</v>
      </c>
    </row>
    <row r="293" spans="1:24" ht="15" customHeight="1">
      <c r="A293" s="1430" t="s">
        <v>2789</v>
      </c>
      <c r="B293" s="1431">
        <v>5591</v>
      </c>
      <c r="C293" s="1433">
        <v>133524.41</v>
      </c>
      <c r="D293" s="1433">
        <v>15703.12</v>
      </c>
      <c r="E293" s="1433">
        <v>149227.53</v>
      </c>
      <c r="F293" s="1430" t="s">
        <v>421</v>
      </c>
      <c r="G293" s="1430" t="s">
        <v>2063</v>
      </c>
      <c r="H293" s="1233"/>
      <c r="I293" s="1234"/>
      <c r="J293" s="1234"/>
      <c r="K293" s="1234"/>
      <c r="L293" s="150">
        <f t="shared" si="18"/>
        <v>5591</v>
      </c>
      <c r="M293" s="151" t="str">
        <f t="shared" si="19"/>
        <v>C/V - S-TRAIT. CARR.</v>
      </c>
      <c r="N293" s="152">
        <f>+IF(OR($Q293=Parametres!$G$2,$Q293=Parametres!$G$3),I293,C293)</f>
        <v>133524.41</v>
      </c>
      <c r="O293" s="152">
        <f>+IF(OR($Q293=Parametres!$G$2,$Q293=Parametres!$G$3),J293,D293)</f>
        <v>15703.12</v>
      </c>
      <c r="P293" s="152">
        <f>+IF(OR($Q293=Parametres!$G$2,$Q293=Parametres!$G$3),K293,E293)</f>
        <v>149227.53</v>
      </c>
      <c r="Q293" s="151" t="str">
        <f t="shared" si="22"/>
        <v>6-Coût des ventes</v>
      </c>
      <c r="R293" s="150" t="str">
        <f t="shared" si="22"/>
        <v>4591</v>
      </c>
      <c r="S293" s="151">
        <f t="shared" si="22"/>
        <v>0</v>
      </c>
      <c r="T293" s="153">
        <f>+VLOOKUP($L293,Data_Validation!$A:$D,1,0)</f>
        <v>5591</v>
      </c>
      <c r="U293" s="153" t="str">
        <f>+VLOOKUP($L293,Data_Validation!$A:$D,3,0)</f>
        <v>Carrosserie</v>
      </c>
      <c r="V293" s="153" t="str">
        <f>+VLOOKUP($L293,Data_Validation!$A:$D,4,0)</f>
        <v>M/O Sous-traitement</v>
      </c>
      <c r="W293" s="153" t="str">
        <f>+VLOOKUP($L293,Data_Validation!$A:$E,5,0)</f>
        <v>$</v>
      </c>
      <c r="X293" s="153">
        <f>+VLOOKUP($L293,Data_Validation!$A:$F,6,0)</f>
        <v>0</v>
      </c>
    </row>
    <row r="294" spans="1:24" ht="15" customHeight="1">
      <c r="A294" s="1430" t="s">
        <v>2799</v>
      </c>
      <c r="B294" s="1431">
        <v>5593</v>
      </c>
      <c r="C294" s="1433">
        <v>447496.5</v>
      </c>
      <c r="D294" s="1433">
        <v>53412.1</v>
      </c>
      <c r="E294" s="1433">
        <v>500908.6</v>
      </c>
      <c r="F294" s="1430" t="s">
        <v>421</v>
      </c>
      <c r="G294" s="1430" t="s">
        <v>2061</v>
      </c>
      <c r="H294" s="1233"/>
      <c r="I294" s="1234"/>
      <c r="J294" s="1234"/>
      <c r="K294" s="1234"/>
      <c r="L294" s="150">
        <f t="shared" si="18"/>
        <v>5593</v>
      </c>
      <c r="M294" s="151" t="str">
        <f t="shared" si="19"/>
        <v>C/V - S-TRAIT.GARANTIE CARROS.</v>
      </c>
      <c r="N294" s="152">
        <f>+IF(OR($Q294=Parametres!$G$2,$Q294=Parametres!$G$3),I294,C294)</f>
        <v>447496.5</v>
      </c>
      <c r="O294" s="152">
        <f>+IF(OR($Q294=Parametres!$G$2,$Q294=Parametres!$G$3),J294,D294)</f>
        <v>53412.1</v>
      </c>
      <c r="P294" s="152">
        <f>+IF(OR($Q294=Parametres!$G$2,$Q294=Parametres!$G$3),K294,E294)</f>
        <v>500908.6</v>
      </c>
      <c r="Q294" s="151" t="str">
        <f t="shared" si="22"/>
        <v>6-Coût des ventes</v>
      </c>
      <c r="R294" s="150" t="str">
        <f t="shared" si="22"/>
        <v>4593</v>
      </c>
      <c r="S294" s="151">
        <f t="shared" si="22"/>
        <v>0</v>
      </c>
      <c r="T294" s="153">
        <f>+VLOOKUP($L294,Data_Validation!$A:$D,1,0)</f>
        <v>5593</v>
      </c>
      <c r="U294" s="153" t="str">
        <f>+VLOOKUP($L294,Data_Validation!$A:$D,3,0)</f>
        <v>Carrosserie</v>
      </c>
      <c r="V294" s="153" t="str">
        <f>+VLOOKUP($L294,Data_Validation!$A:$D,4,0)</f>
        <v>M/O Sous-traitement</v>
      </c>
      <c r="W294" s="153" t="str">
        <f>+VLOOKUP($L294,Data_Validation!$A:$E,5,0)</f>
        <v>$</v>
      </c>
      <c r="X294" s="153">
        <f>+VLOOKUP($L294,Data_Validation!$A:$F,6,0)</f>
        <v>0</v>
      </c>
    </row>
    <row r="295" spans="1:24" ht="15" customHeight="1">
      <c r="A295" s="1430" t="s">
        <v>2758</v>
      </c>
      <c r="B295" s="1431">
        <v>5595</v>
      </c>
      <c r="C295" s="1433">
        <v>65140.65</v>
      </c>
      <c r="D295" s="1433">
        <v>5972.2</v>
      </c>
      <c r="E295" s="1433">
        <v>71112.850000000006</v>
      </c>
      <c r="F295" s="1430" t="s">
        <v>421</v>
      </c>
      <c r="G295" s="1430" t="s">
        <v>2094</v>
      </c>
      <c r="H295" s="1233"/>
      <c r="I295" s="1234"/>
      <c r="J295" s="1234"/>
      <c r="K295" s="1234"/>
      <c r="L295" s="150">
        <f t="shared" si="18"/>
        <v>5595</v>
      </c>
      <c r="M295" s="151" t="str">
        <f t="shared" si="19"/>
        <v>C/V - S-TRAIT.INTERNE CARROS.</v>
      </c>
      <c r="N295" s="152">
        <f>+IF(OR($Q295=Parametres!$G$2,$Q295=Parametres!$G$3),I295,C295)</f>
        <v>65140.65</v>
      </c>
      <c r="O295" s="152">
        <f>+IF(OR($Q295=Parametres!$G$2,$Q295=Parametres!$G$3),J295,D295)</f>
        <v>5972.2</v>
      </c>
      <c r="P295" s="152">
        <f>+IF(OR($Q295=Parametres!$G$2,$Q295=Parametres!$G$3),K295,E295)</f>
        <v>71112.850000000006</v>
      </c>
      <c r="Q295" s="151" t="str">
        <f t="shared" si="22"/>
        <v>6-Coût des ventes</v>
      </c>
      <c r="R295" s="150" t="str">
        <f t="shared" si="22"/>
        <v>4595</v>
      </c>
      <c r="S295" s="151">
        <f t="shared" si="22"/>
        <v>0</v>
      </c>
      <c r="T295" s="153">
        <f>+VLOOKUP($L295,Data_Validation!$A:$D,1,0)</f>
        <v>5595</v>
      </c>
      <c r="U295" s="153" t="str">
        <f>+VLOOKUP($L295,Data_Validation!$A:$D,3,0)</f>
        <v>Carrosserie</v>
      </c>
      <c r="V295" s="153" t="str">
        <f>+VLOOKUP($L295,Data_Validation!$A:$D,4,0)</f>
        <v>M/O Sous-traitement</v>
      </c>
      <c r="W295" s="153" t="str">
        <f>+VLOOKUP($L295,Data_Validation!$A:$E,5,0)</f>
        <v>$</v>
      </c>
      <c r="X295" s="153">
        <f>+VLOOKUP($L295,Data_Validation!$A:$F,6,0)</f>
        <v>0</v>
      </c>
    </row>
    <row r="296" spans="1:24" ht="15" customHeight="1">
      <c r="A296" s="1430" t="s">
        <v>2823</v>
      </c>
      <c r="B296" s="1431">
        <v>5701</v>
      </c>
      <c r="C296" s="1433">
        <v>367001.1</v>
      </c>
      <c r="D296" s="1433">
        <v>68695.63</v>
      </c>
      <c r="E296" s="1433">
        <v>435696.73</v>
      </c>
      <c r="F296" s="1430" t="s">
        <v>421</v>
      </c>
      <c r="G296" s="1430" t="s">
        <v>2017</v>
      </c>
      <c r="H296" s="1233"/>
      <c r="I296" s="1234"/>
      <c r="J296" s="1234"/>
      <c r="K296" s="1234"/>
      <c r="L296" s="150">
        <f t="shared" si="18"/>
        <v>5701</v>
      </c>
      <c r="M296" s="151" t="str">
        <f t="shared" si="19"/>
        <v>C/V - PIECE/ACC B.R. CLIENT VW</v>
      </c>
      <c r="N296" s="152">
        <f>+IF(OR($Q296=Parametres!$G$2,$Q296=Parametres!$G$3),I296,C296)</f>
        <v>367001.1</v>
      </c>
      <c r="O296" s="152">
        <f>+IF(OR($Q296=Parametres!$G$2,$Q296=Parametres!$G$3),J296,D296)</f>
        <v>68695.63</v>
      </c>
      <c r="P296" s="152">
        <f>+IF(OR($Q296=Parametres!$G$2,$Q296=Parametres!$G$3),K296,E296)</f>
        <v>435696.73</v>
      </c>
      <c r="Q296" s="151" t="str">
        <f t="shared" si="22"/>
        <v>6-Coût des ventes</v>
      </c>
      <c r="R296" s="150" t="str">
        <f t="shared" si="22"/>
        <v>4701</v>
      </c>
      <c r="S296" s="151">
        <f t="shared" si="22"/>
        <v>0</v>
      </c>
      <c r="T296" s="153">
        <f>+VLOOKUP($L296,Data_Validation!$A:$D,1,0)</f>
        <v>5701</v>
      </c>
      <c r="U296" s="153" t="str">
        <f>+VLOOKUP($L296,Data_Validation!$A:$D,3,0)</f>
        <v>Pièces</v>
      </c>
      <c r="V296" s="153" t="str">
        <f>+VLOOKUP($L296,Data_Validation!$A:$D,4,0)</f>
        <v>Pièces Ro Clients</v>
      </c>
      <c r="W296" s="153" t="str">
        <f>+VLOOKUP($L296,Data_Validation!$A:$E,5,0)</f>
        <v>$</v>
      </c>
      <c r="X296" s="153">
        <f>+VLOOKUP($L296,Data_Validation!$A:$F,6,0)</f>
        <v>0</v>
      </c>
    </row>
    <row r="297" spans="1:24" ht="15.75" customHeight="1">
      <c r="A297" s="1430" t="s">
        <v>2649</v>
      </c>
      <c r="B297" s="1431">
        <v>5702</v>
      </c>
      <c r="C297" s="1433">
        <v>3872.33</v>
      </c>
      <c r="D297" s="1433">
        <v>1063.3499999999999</v>
      </c>
      <c r="E297" s="1433">
        <v>4935.68</v>
      </c>
      <c r="F297" s="1430" t="s">
        <v>421</v>
      </c>
      <c r="G297" s="1430" t="s">
        <v>2144</v>
      </c>
      <c r="H297" s="1233"/>
      <c r="I297" s="1234"/>
      <c r="J297" s="1234"/>
      <c r="K297" s="1234"/>
      <c r="L297" s="150">
        <f t="shared" si="18"/>
        <v>5702</v>
      </c>
      <c r="M297" s="151" t="str">
        <f t="shared" si="19"/>
        <v>C/V - SHOP SUPPLY VW</v>
      </c>
      <c r="N297" s="152">
        <f>+IF(OR($Q297=Parametres!$G$2,$Q297=Parametres!$G$3),I297,C297)</f>
        <v>3872.33</v>
      </c>
      <c r="O297" s="152">
        <f>+IF(OR($Q297=Parametres!$G$2,$Q297=Parametres!$G$3),J297,D297)</f>
        <v>1063.3499999999999</v>
      </c>
      <c r="P297" s="152">
        <f>+IF(OR($Q297=Parametres!$G$2,$Q297=Parametres!$G$3),K297,E297)</f>
        <v>4935.68</v>
      </c>
      <c r="Q297" s="151" t="str">
        <f t="shared" si="22"/>
        <v>6-Coût des ventes</v>
      </c>
      <c r="R297" s="150" t="str">
        <f t="shared" si="22"/>
        <v>4702</v>
      </c>
      <c r="S297" s="151">
        <f t="shared" si="22"/>
        <v>0</v>
      </c>
      <c r="T297" s="153">
        <f>+VLOOKUP($L297,Data_Validation!$A:$D,1,0)</f>
        <v>5702</v>
      </c>
      <c r="U297" s="153" t="str">
        <f>+VLOOKUP($L297,Data_Validation!$A:$D,3,0)</f>
        <v>Service</v>
      </c>
      <c r="V297" s="153" t="str">
        <f>+VLOOKUP($L297,Data_Validation!$A:$D,4,0)</f>
        <v>M/O Client</v>
      </c>
      <c r="W297" s="153" t="str">
        <f>+VLOOKUP($L297,Data_Validation!$A:$E,5,0)</f>
        <v>$</v>
      </c>
      <c r="X297" s="153">
        <f>+VLOOKUP($L297,Data_Validation!$A:$F,6,0)</f>
        <v>0</v>
      </c>
    </row>
    <row r="298" spans="1:24" ht="15" customHeight="1">
      <c r="A298" s="1430" t="s">
        <v>2805</v>
      </c>
      <c r="B298" s="1431">
        <v>5703</v>
      </c>
      <c r="C298" s="1433">
        <v>558878.42000000004</v>
      </c>
      <c r="D298" s="1433">
        <v>20353.5</v>
      </c>
      <c r="E298" s="1433">
        <v>579231.92000000004</v>
      </c>
      <c r="F298" s="1430" t="s">
        <v>421</v>
      </c>
      <c r="G298" s="1430" t="s">
        <v>2037</v>
      </c>
      <c r="H298" s="1233"/>
      <c r="I298" s="1234"/>
      <c r="J298" s="1234"/>
      <c r="K298" s="1234"/>
      <c r="L298" s="150">
        <f t="shared" si="18"/>
        <v>5703</v>
      </c>
      <c r="M298" s="151" t="str">
        <f t="shared" si="19"/>
        <v>C/V - PIECE/ACC B.R. GARANTIE VW</v>
      </c>
      <c r="N298" s="152">
        <f>+IF(OR($Q298=Parametres!$G$2,$Q298=Parametres!$G$3),I298,C298)</f>
        <v>558878.42000000004</v>
      </c>
      <c r="O298" s="152">
        <f>+IF(OR($Q298=Parametres!$G$2,$Q298=Parametres!$G$3),J298,D298)</f>
        <v>20353.5</v>
      </c>
      <c r="P298" s="152">
        <f>+IF(OR($Q298=Parametres!$G$2,$Q298=Parametres!$G$3),K298,E298)</f>
        <v>579231.92000000004</v>
      </c>
      <c r="Q298" s="151" t="str">
        <f t="shared" si="22"/>
        <v>6-Coût des ventes</v>
      </c>
      <c r="R298" s="150" t="str">
        <f t="shared" si="22"/>
        <v>4703</v>
      </c>
      <c r="S298" s="151">
        <f t="shared" si="22"/>
        <v>0</v>
      </c>
      <c r="T298" s="153">
        <f>+VLOOKUP($L298,Data_Validation!$A:$D,1,0)</f>
        <v>5703</v>
      </c>
      <c r="U298" s="153" t="str">
        <f>+VLOOKUP($L298,Data_Validation!$A:$D,3,0)</f>
        <v>Pièces</v>
      </c>
      <c r="V298" s="153" t="str">
        <f>+VLOOKUP($L298,Data_Validation!$A:$D,4,0)</f>
        <v>P/A Garantie</v>
      </c>
      <c r="W298" s="153" t="str">
        <f>+VLOOKUP($L298,Data_Validation!$A:$E,5,0)</f>
        <v>$</v>
      </c>
      <c r="X298" s="153">
        <f>+VLOOKUP($L298,Data_Validation!$A:$F,6,0)</f>
        <v>0</v>
      </c>
    </row>
    <row r="299" spans="1:24" ht="15" customHeight="1">
      <c r="A299" s="1430" t="s">
        <v>2802</v>
      </c>
      <c r="B299" s="1431">
        <v>5705</v>
      </c>
      <c r="C299" s="1433">
        <v>354603.79</v>
      </c>
      <c r="D299" s="1433">
        <v>47758.16</v>
      </c>
      <c r="E299" s="1433">
        <v>402361.95</v>
      </c>
      <c r="F299" s="1430" t="s">
        <v>421</v>
      </c>
      <c r="G299" s="1430" t="s">
        <v>2041</v>
      </c>
      <c r="H299" s="1233"/>
      <c r="I299" s="1234"/>
      <c r="J299" s="1234"/>
      <c r="K299" s="1234"/>
      <c r="L299" s="150">
        <f t="shared" si="18"/>
        <v>5705</v>
      </c>
      <c r="M299" s="151" t="str">
        <f t="shared" si="19"/>
        <v>C/V - PIECE/ACC B.R. INTERNE VW</v>
      </c>
      <c r="N299" s="152">
        <f>+IF(OR($Q299=Parametres!$G$2,$Q299=Parametres!$G$3),I299,C299)</f>
        <v>354603.79</v>
      </c>
      <c r="O299" s="152">
        <f>+IF(OR($Q299=Parametres!$G$2,$Q299=Parametres!$G$3),J299,D299)</f>
        <v>47758.16</v>
      </c>
      <c r="P299" s="152">
        <f>+IF(OR($Q299=Parametres!$G$2,$Q299=Parametres!$G$3),K299,E299)</f>
        <v>402361.95</v>
      </c>
      <c r="Q299" s="151" t="str">
        <f t="shared" si="22"/>
        <v>6-Coût des ventes</v>
      </c>
      <c r="R299" s="150" t="str">
        <f t="shared" si="22"/>
        <v>4705</v>
      </c>
      <c r="S299" s="151">
        <f t="shared" si="22"/>
        <v>0</v>
      </c>
      <c r="T299" s="153">
        <f>+VLOOKUP($L299,Data_Validation!$A:$D,1,0)</f>
        <v>5705</v>
      </c>
      <c r="U299" s="153" t="str">
        <f>+VLOOKUP($L299,Data_Validation!$A:$D,3,0)</f>
        <v>Pièces</v>
      </c>
      <c r="V299" s="153" t="str">
        <f>+VLOOKUP($L299,Data_Validation!$A:$D,4,0)</f>
        <v>Ventes Internes</v>
      </c>
      <c r="W299" s="153" t="str">
        <f>+VLOOKUP($L299,Data_Validation!$A:$E,5,0)</f>
        <v>$</v>
      </c>
      <c r="X299" s="153">
        <f>+VLOOKUP($L299,Data_Validation!$A:$F,6,0)</f>
        <v>0</v>
      </c>
    </row>
    <row r="300" spans="1:24" ht="15" customHeight="1">
      <c r="A300" s="1430" t="s">
        <v>2649</v>
      </c>
      <c r="B300" s="1431">
        <v>5706</v>
      </c>
      <c r="C300" s="1433">
        <v>4981.1499999999996</v>
      </c>
      <c r="D300" s="1433">
        <v>692.59</v>
      </c>
      <c r="E300" s="1433">
        <v>5673.74</v>
      </c>
      <c r="F300" s="1430" t="s">
        <v>421</v>
      </c>
      <c r="G300" s="1430" t="s">
        <v>2162</v>
      </c>
      <c r="H300" s="1233"/>
      <c r="I300" s="1234"/>
      <c r="J300" s="1234"/>
      <c r="K300" s="1234"/>
      <c r="L300" s="150">
        <f t="shared" si="18"/>
        <v>5706</v>
      </c>
      <c r="M300" s="151" t="str">
        <f t="shared" si="19"/>
        <v>C/V - SHOP SUPPLY VW</v>
      </c>
      <c r="N300" s="152">
        <f>+IF(OR($Q300=Parametres!$G$2,$Q300=Parametres!$G$3),I300,C300)</f>
        <v>4981.1499999999996</v>
      </c>
      <c r="O300" s="152">
        <f>+IF(OR($Q300=Parametres!$G$2,$Q300=Parametres!$G$3),J300,D300)</f>
        <v>692.59</v>
      </c>
      <c r="P300" s="152">
        <f>+IF(OR($Q300=Parametres!$G$2,$Q300=Parametres!$G$3),K300,E300)</f>
        <v>5673.74</v>
      </c>
      <c r="Q300" s="151" t="str">
        <f t="shared" si="22"/>
        <v>6-Coût des ventes</v>
      </c>
      <c r="R300" s="150" t="str">
        <f t="shared" si="22"/>
        <v>4706</v>
      </c>
      <c r="S300" s="151">
        <f t="shared" si="22"/>
        <v>0</v>
      </c>
      <c r="T300" s="153">
        <f>+VLOOKUP($L300,Data_Validation!$A:$D,1,0)</f>
        <v>5706</v>
      </c>
      <c r="U300" s="153" t="str">
        <f>+VLOOKUP($L300,Data_Validation!$A:$D,3,0)</f>
        <v>Service</v>
      </c>
      <c r="V300" s="153" t="str">
        <f>+VLOOKUP($L300,Data_Validation!$A:$D,4,0)</f>
        <v>M/O Interne</v>
      </c>
      <c r="W300" s="153" t="str">
        <f>+VLOOKUP($L300,Data_Validation!$A:$E,5,0)</f>
        <v>$</v>
      </c>
      <c r="X300" s="153">
        <f>+VLOOKUP($L300,Data_Validation!$A:$F,6,0)</f>
        <v>0</v>
      </c>
    </row>
    <row r="301" spans="1:24" ht="15.75" customHeight="1">
      <c r="A301" s="1430" t="s">
        <v>2451</v>
      </c>
      <c r="B301" s="1431">
        <v>5711</v>
      </c>
      <c r="C301" s="1433">
        <v>28936.23</v>
      </c>
      <c r="D301" s="1433">
        <v>4558.04</v>
      </c>
      <c r="E301" s="1433">
        <v>33494.269999999997</v>
      </c>
      <c r="F301" s="1430" t="s">
        <v>421</v>
      </c>
      <c r="G301" s="1430" t="s">
        <v>2108</v>
      </c>
      <c r="H301" s="1233"/>
      <c r="I301" s="1234"/>
      <c r="J301" s="1234"/>
      <c r="K301" s="1234"/>
      <c r="L301" s="150">
        <f t="shared" si="18"/>
        <v>5711</v>
      </c>
      <c r="M301" s="151" t="str">
        <f t="shared" si="19"/>
        <v>C/V - AUTRE PIECE/ACC/CARR B.R. CLIENT</v>
      </c>
      <c r="N301" s="152">
        <f>+IF(OR($Q301=Parametres!$G$2,$Q301=Parametres!$G$3),I301,C301)</f>
        <v>28936.23</v>
      </c>
      <c r="O301" s="152">
        <f>+IF(OR($Q301=Parametres!$G$2,$Q301=Parametres!$G$3),J301,D301)</f>
        <v>4558.04</v>
      </c>
      <c r="P301" s="152">
        <f>+IF(OR($Q301=Parametres!$G$2,$Q301=Parametres!$G$3),K301,E301)</f>
        <v>33494.269999999997</v>
      </c>
      <c r="Q301" s="151" t="str">
        <f t="shared" si="22"/>
        <v>6-Coût des ventes</v>
      </c>
      <c r="R301" s="150" t="str">
        <f t="shared" si="22"/>
        <v>4711</v>
      </c>
      <c r="S301" s="151">
        <f t="shared" si="22"/>
        <v>0</v>
      </c>
      <c r="T301" s="153">
        <f>+VLOOKUP($L301,Data_Validation!$A:$D,1,0)</f>
        <v>5711</v>
      </c>
      <c r="U301" s="153" t="str">
        <f>+VLOOKUP($L301,Data_Validation!$A:$D,3,0)</f>
        <v>Pièces</v>
      </c>
      <c r="V301" s="153" t="str">
        <f>+VLOOKUP($L301,Data_Validation!$A:$D,4,0)</f>
        <v>Pièces Ro Clients</v>
      </c>
      <c r="W301" s="153" t="str">
        <f>+VLOOKUP($L301,Data_Validation!$A:$E,5,0)</f>
        <v>$</v>
      </c>
      <c r="X301" s="153">
        <f>+VLOOKUP($L301,Data_Validation!$A:$F,6,0)</f>
        <v>0</v>
      </c>
    </row>
    <row r="302" spans="1:24" ht="15" customHeight="1">
      <c r="A302" s="1430" t="s">
        <v>2917</v>
      </c>
      <c r="B302" s="1431">
        <v>5715</v>
      </c>
      <c r="C302" s="1433">
        <v>-16</v>
      </c>
      <c r="D302" s="1433">
        <v>0</v>
      </c>
      <c r="E302" s="1433">
        <v>-16</v>
      </c>
      <c r="F302" s="1430" t="s">
        <v>421</v>
      </c>
      <c r="G302" s="1430" t="s">
        <v>3611</v>
      </c>
      <c r="H302" s="1233"/>
      <c r="I302" s="1234"/>
      <c r="J302" s="1234"/>
      <c r="K302" s="1234"/>
      <c r="L302" s="150">
        <f t="shared" si="18"/>
        <v>5715</v>
      </c>
      <c r="M302" s="151" t="str">
        <f t="shared" si="19"/>
        <v>C/V - AUTRE PIECE/ACC/CARR B.R. INTERNE</v>
      </c>
      <c r="N302" s="152">
        <f>+IF(OR($Q302=Parametres!$G$2,$Q302=Parametres!$G$3),I302,C302)</f>
        <v>-16</v>
      </c>
      <c r="O302" s="152">
        <f>+IF(OR($Q302=Parametres!$G$2,$Q302=Parametres!$G$3),J302,D302)</f>
        <v>0</v>
      </c>
      <c r="P302" s="152">
        <f>+IF(OR($Q302=Parametres!$G$2,$Q302=Parametres!$G$3),K302,E302)</f>
        <v>-16</v>
      </c>
      <c r="Q302" s="151" t="str">
        <f t="shared" si="22"/>
        <v>6-Coût des ventes</v>
      </c>
      <c r="R302" s="150" t="str">
        <f t="shared" si="22"/>
        <v>4715</v>
      </c>
      <c r="S302" s="151">
        <f t="shared" si="22"/>
        <v>0</v>
      </c>
      <c r="T302" s="153">
        <f>+VLOOKUP($L302,Data_Validation!$A:$D,1,0)</f>
        <v>5715</v>
      </c>
      <c r="U302" s="153" t="str">
        <f>+VLOOKUP($L302,Data_Validation!$A:$D,3,0)</f>
        <v>Pièces</v>
      </c>
      <c r="V302" s="153" t="str">
        <f>+VLOOKUP($L302,Data_Validation!$A:$D,4,0)</f>
        <v>Ventes Internes</v>
      </c>
      <c r="W302" s="153" t="str">
        <f>+VLOOKUP($L302,Data_Validation!$A:$E,5,0)</f>
        <v>$</v>
      </c>
      <c r="X302" s="153">
        <f>+VLOOKUP($L302,Data_Validation!$A:$F,6,0)</f>
        <v>0</v>
      </c>
    </row>
    <row r="303" spans="1:24" ht="15" customHeight="1">
      <c r="A303" s="1430" t="s">
        <v>2745</v>
      </c>
      <c r="B303" s="1431">
        <v>5731</v>
      </c>
      <c r="C303" s="1433">
        <v>58392.26</v>
      </c>
      <c r="D303" s="1433">
        <v>2253.09</v>
      </c>
      <c r="E303" s="1433">
        <v>60645.35</v>
      </c>
      <c r="F303" s="1430" t="s">
        <v>421</v>
      </c>
      <c r="G303" s="1430" t="s">
        <v>2101</v>
      </c>
      <c r="H303" s="1233"/>
      <c r="I303" s="1234"/>
      <c r="J303" s="1234"/>
      <c r="K303" s="1234"/>
      <c r="L303" s="150">
        <f t="shared" si="18"/>
        <v>5731</v>
      </c>
      <c r="M303" s="151" t="str">
        <f t="shared" si="19"/>
        <v>C/V - PIECES-BON REPAR.-PEINT/DEBOS</v>
      </c>
      <c r="N303" s="152">
        <f>+IF(OR($Q303=Parametres!$G$2,$Q303=Parametres!$G$3),I303,C303)</f>
        <v>58392.26</v>
      </c>
      <c r="O303" s="152">
        <f>+IF(OR($Q303=Parametres!$G$2,$Q303=Parametres!$G$3),J303,D303)</f>
        <v>2253.09</v>
      </c>
      <c r="P303" s="152">
        <f>+IF(OR($Q303=Parametres!$G$2,$Q303=Parametres!$G$3),K303,E303)</f>
        <v>60645.35</v>
      </c>
      <c r="Q303" s="151" t="str">
        <f t="shared" si="22"/>
        <v>6-Coût des ventes</v>
      </c>
      <c r="R303" s="150" t="str">
        <f t="shared" si="22"/>
        <v>4731</v>
      </c>
      <c r="S303" s="151">
        <f t="shared" si="22"/>
        <v>0</v>
      </c>
      <c r="T303" s="153">
        <f>+VLOOKUP($L303,Data_Validation!$A:$D,1,0)</f>
        <v>5731</v>
      </c>
      <c r="U303" s="153" t="str">
        <f>+VLOOKUP($L303,Data_Validation!$A:$D,3,0)</f>
        <v>Pièces</v>
      </c>
      <c r="V303" s="153" t="str">
        <f>+VLOOKUP($L303,Data_Validation!$A:$D,4,0)</f>
        <v>Pièces Ro Carrosserie</v>
      </c>
      <c r="W303" s="153" t="str">
        <f>+VLOOKUP($L303,Data_Validation!$A:$E,5,0)</f>
        <v>$</v>
      </c>
      <c r="X303" s="153">
        <f>+VLOOKUP($L303,Data_Validation!$A:$F,6,0)</f>
        <v>0</v>
      </c>
    </row>
    <row r="304" spans="1:24" ht="15" customHeight="1">
      <c r="A304" s="1430" t="s">
        <v>2778</v>
      </c>
      <c r="B304" s="1431">
        <v>5733</v>
      </c>
      <c r="C304" s="1433">
        <v>269308.19</v>
      </c>
      <c r="D304" s="1433">
        <v>36599.11</v>
      </c>
      <c r="E304" s="1433">
        <v>305907.3</v>
      </c>
      <c r="F304" s="1430" t="s">
        <v>421</v>
      </c>
      <c r="G304" s="1430" t="s">
        <v>2084</v>
      </c>
      <c r="H304" s="1233"/>
      <c r="I304" s="1234"/>
      <c r="J304" s="1234"/>
      <c r="K304" s="1234"/>
      <c r="L304" s="150">
        <f t="shared" si="18"/>
        <v>5733</v>
      </c>
      <c r="M304" s="151" t="str">
        <f t="shared" si="19"/>
        <v>C/V - P&amp;A B.T. GAR.CARR.VW</v>
      </c>
      <c r="N304" s="152">
        <f>+IF(OR($Q304=Parametres!$G$2,$Q304=Parametres!$G$3),I304,C304)</f>
        <v>269308.19</v>
      </c>
      <c r="O304" s="152">
        <f>+IF(OR($Q304=Parametres!$G$2,$Q304=Parametres!$G$3),J304,D304)</f>
        <v>36599.11</v>
      </c>
      <c r="P304" s="152">
        <f>+IF(OR($Q304=Parametres!$G$2,$Q304=Parametres!$G$3),K304,E304)</f>
        <v>305907.3</v>
      </c>
      <c r="Q304" s="151" t="str">
        <f t="shared" si="22"/>
        <v>6-Coût des ventes</v>
      </c>
      <c r="R304" s="150" t="str">
        <f t="shared" si="22"/>
        <v>4733</v>
      </c>
      <c r="S304" s="151">
        <f t="shared" si="22"/>
        <v>0</v>
      </c>
      <c r="T304" s="153">
        <f>+VLOOKUP($L304,Data_Validation!$A:$D,1,0)</f>
        <v>5733</v>
      </c>
      <c r="U304" s="153" t="str">
        <f>+VLOOKUP($L304,Data_Validation!$A:$D,3,0)</f>
        <v>Pièces</v>
      </c>
      <c r="V304" s="153" t="str">
        <f>+VLOOKUP($L304,Data_Validation!$A:$D,4,0)</f>
        <v>Pièces Ro Carrosserie</v>
      </c>
      <c r="W304" s="153" t="str">
        <f>+VLOOKUP($L304,Data_Validation!$A:$E,5,0)</f>
        <v>$</v>
      </c>
      <c r="X304" s="153">
        <f>+VLOOKUP($L304,Data_Validation!$A:$F,6,0)</f>
        <v>0</v>
      </c>
    </row>
    <row r="305" spans="1:24" ht="15.75" customHeight="1">
      <c r="A305" s="1430" t="s">
        <v>2659</v>
      </c>
      <c r="B305" s="1431">
        <v>5735</v>
      </c>
      <c r="C305" s="1433">
        <v>8391.2800000000007</v>
      </c>
      <c r="D305" s="1433">
        <v>1059.8599999999999</v>
      </c>
      <c r="E305" s="1433">
        <v>9451.14</v>
      </c>
      <c r="F305" s="1430" t="s">
        <v>421</v>
      </c>
      <c r="G305" s="1430" t="s">
        <v>2159</v>
      </c>
      <c r="H305" s="1233"/>
      <c r="I305" s="1234"/>
      <c r="J305" s="1234"/>
      <c r="K305" s="1234"/>
      <c r="L305" s="150">
        <f t="shared" si="18"/>
        <v>5735</v>
      </c>
      <c r="M305" s="151" t="str">
        <f t="shared" si="19"/>
        <v>C/V - P&amp;A B.T.INTERNE CARR.VW</v>
      </c>
      <c r="N305" s="152">
        <f>+IF(OR($Q305=Parametres!$G$2,$Q305=Parametres!$G$3),I305,C305)</f>
        <v>8391.2800000000007</v>
      </c>
      <c r="O305" s="152">
        <f>+IF(OR($Q305=Parametres!$G$2,$Q305=Parametres!$G$3),J305,D305)</f>
        <v>1059.8599999999999</v>
      </c>
      <c r="P305" s="152">
        <f>+IF(OR($Q305=Parametres!$G$2,$Q305=Parametres!$G$3),K305,E305)</f>
        <v>9451.14</v>
      </c>
      <c r="Q305" s="151" t="str">
        <f t="shared" si="22"/>
        <v>6-Coût des ventes</v>
      </c>
      <c r="R305" s="150" t="str">
        <f t="shared" si="22"/>
        <v>4735</v>
      </c>
      <c r="S305" s="151">
        <f t="shared" si="22"/>
        <v>0</v>
      </c>
      <c r="T305" s="153">
        <f>+VLOOKUP($L305,Data_Validation!$A:$D,1,0)</f>
        <v>5735</v>
      </c>
      <c r="U305" s="153" t="str">
        <f>+VLOOKUP($L305,Data_Validation!$A:$D,3,0)</f>
        <v>Pièces</v>
      </c>
      <c r="V305" s="153" t="str">
        <f>+VLOOKUP($L305,Data_Validation!$A:$D,4,0)</f>
        <v>Pièces Ro Carrosserie</v>
      </c>
      <c r="W305" s="153" t="str">
        <f>+VLOOKUP($L305,Data_Validation!$A:$E,5,0)</f>
        <v>$</v>
      </c>
      <c r="X305" s="153">
        <f>+VLOOKUP($L305,Data_Validation!$A:$F,6,0)</f>
        <v>0</v>
      </c>
    </row>
    <row r="306" spans="1:24" ht="15" customHeight="1">
      <c r="A306" s="1430" t="s">
        <v>2785</v>
      </c>
      <c r="B306" s="1431">
        <v>5761</v>
      </c>
      <c r="C306" s="1433">
        <v>120109.91</v>
      </c>
      <c r="D306" s="1433">
        <v>12734.7</v>
      </c>
      <c r="E306" s="1433">
        <v>132844.60999999999</v>
      </c>
      <c r="F306" s="1430" t="s">
        <v>421</v>
      </c>
      <c r="G306" s="1430" t="s">
        <v>2076</v>
      </c>
      <c r="H306" s="1233"/>
      <c r="I306" s="1234"/>
      <c r="J306" s="1234"/>
      <c r="K306" s="1234"/>
      <c r="L306" s="150">
        <f t="shared" si="18"/>
        <v>5761</v>
      </c>
      <c r="M306" s="151" t="str">
        <f t="shared" si="19"/>
        <v>C/V - P&amp;A VW COMPTOIR - DETAIL</v>
      </c>
      <c r="N306" s="152">
        <f>+IF(OR($Q306=Parametres!$G$2,$Q306=Parametres!$G$3),I306,C306)</f>
        <v>120109.91</v>
      </c>
      <c r="O306" s="152">
        <f>+IF(OR($Q306=Parametres!$G$2,$Q306=Parametres!$G$3),J306,D306)</f>
        <v>12734.7</v>
      </c>
      <c r="P306" s="152">
        <f>+IF(OR($Q306=Parametres!$G$2,$Q306=Parametres!$G$3),K306,E306)</f>
        <v>132844.60999999999</v>
      </c>
      <c r="Q306" s="151" t="str">
        <f t="shared" ref="Q306:S321" si="23">+F306</f>
        <v>6-Coût des ventes</v>
      </c>
      <c r="R306" s="150" t="str">
        <f t="shared" si="23"/>
        <v>4761</v>
      </c>
      <c r="S306" s="151">
        <f t="shared" si="23"/>
        <v>0</v>
      </c>
      <c r="T306" s="153">
        <f>+VLOOKUP($L306,Data_Validation!$A:$D,1,0)</f>
        <v>5761</v>
      </c>
      <c r="U306" s="153" t="str">
        <f>+VLOOKUP($L306,Data_Validation!$A:$D,3,0)</f>
        <v>Pièces</v>
      </c>
      <c r="V306" s="153" t="str">
        <f>+VLOOKUP($L306,Data_Validation!$A:$D,4,0)</f>
        <v>Ventes Détails</v>
      </c>
      <c r="W306" s="153" t="str">
        <f>+VLOOKUP($L306,Data_Validation!$A:$E,5,0)</f>
        <v>$</v>
      </c>
      <c r="X306" s="153">
        <f>+VLOOKUP($L306,Data_Validation!$A:$F,6,0)</f>
        <v>0</v>
      </c>
    </row>
    <row r="307" spans="1:24" ht="15" customHeight="1">
      <c r="A307" s="1430" t="s">
        <v>2807</v>
      </c>
      <c r="B307" s="1431">
        <v>5763</v>
      </c>
      <c r="C307" s="1433">
        <v>404059.53</v>
      </c>
      <c r="D307" s="1433">
        <v>53319.65</v>
      </c>
      <c r="E307" s="1433">
        <v>457379.18</v>
      </c>
      <c r="F307" s="1430" t="s">
        <v>421</v>
      </c>
      <c r="G307" s="1430" t="s">
        <v>2039</v>
      </c>
      <c r="H307" s="1233"/>
      <c r="I307" s="1234"/>
      <c r="J307" s="1234"/>
      <c r="K307" s="1234"/>
      <c r="L307" s="150">
        <f t="shared" si="18"/>
        <v>5763</v>
      </c>
      <c r="M307" s="151" t="str">
        <f t="shared" si="19"/>
        <v>C/V - P&amp;A VW COMPTOIR GROS - ECHANGE</v>
      </c>
      <c r="N307" s="152">
        <f>+IF(OR($Q307=Parametres!$G$2,$Q307=Parametres!$G$3),I307,C307)</f>
        <v>404059.53</v>
      </c>
      <c r="O307" s="152">
        <f>+IF(OR($Q307=Parametres!$G$2,$Q307=Parametres!$G$3),J307,D307)</f>
        <v>53319.65</v>
      </c>
      <c r="P307" s="152">
        <f>+IF(OR($Q307=Parametres!$G$2,$Q307=Parametres!$G$3),K307,E307)</f>
        <v>457379.18</v>
      </c>
      <c r="Q307" s="151" t="str">
        <f t="shared" si="23"/>
        <v>6-Coût des ventes</v>
      </c>
      <c r="R307" s="150" t="str">
        <f t="shared" si="23"/>
        <v>4763</v>
      </c>
      <c r="S307" s="151">
        <f t="shared" si="23"/>
        <v>0</v>
      </c>
      <c r="T307" s="153">
        <f>+VLOOKUP($L307,Data_Validation!$A:$D,1,0)</f>
        <v>5763</v>
      </c>
      <c r="U307" s="153" t="str">
        <f>+VLOOKUP($L307,Data_Validation!$A:$D,3,0)</f>
        <v>Pièces</v>
      </c>
      <c r="V307" s="153" t="str">
        <f>+VLOOKUP($L307,Data_Validation!$A:$D,4,0)</f>
        <v>Ventes de Gros</v>
      </c>
      <c r="W307" s="153" t="str">
        <f>+VLOOKUP($L307,Data_Validation!$A:$E,5,0)</f>
        <v>$</v>
      </c>
      <c r="X307" s="153">
        <f>+VLOOKUP($L307,Data_Validation!$A:$F,6,0)</f>
        <v>0</v>
      </c>
    </row>
    <row r="308" spans="1:24" ht="15" customHeight="1">
      <c r="A308" s="1430" t="s">
        <v>2811</v>
      </c>
      <c r="B308" s="1431">
        <v>5781</v>
      </c>
      <c r="C308" s="1433">
        <v>282173.11</v>
      </c>
      <c r="D308" s="1433">
        <v>100870.37</v>
      </c>
      <c r="E308" s="1433">
        <v>383043.48</v>
      </c>
      <c r="F308" s="1430" t="s">
        <v>421</v>
      </c>
      <c r="G308" s="1430" t="s">
        <v>2028</v>
      </c>
      <c r="H308" s="1233"/>
      <c r="I308" s="1234"/>
      <c r="J308" s="1234"/>
      <c r="K308" s="1234"/>
      <c r="L308" s="150">
        <f t="shared" si="18"/>
        <v>5781</v>
      </c>
      <c r="M308" s="151" t="str">
        <f t="shared" si="19"/>
        <v>COUT PNEUS</v>
      </c>
      <c r="N308" s="152">
        <f>+IF(OR($Q308=Parametres!$G$2,$Q308=Parametres!$G$3),I308,C308)</f>
        <v>282173.11</v>
      </c>
      <c r="O308" s="152">
        <f>+IF(OR($Q308=Parametres!$G$2,$Q308=Parametres!$G$3),J308,D308)</f>
        <v>100870.37</v>
      </c>
      <c r="P308" s="152">
        <f>+IF(OR($Q308=Parametres!$G$2,$Q308=Parametres!$G$3),K308,E308)</f>
        <v>383043.48</v>
      </c>
      <c r="Q308" s="151" t="str">
        <f t="shared" si="23"/>
        <v>6-Coût des ventes</v>
      </c>
      <c r="R308" s="150" t="str">
        <f t="shared" si="23"/>
        <v>4781</v>
      </c>
      <c r="S308" s="151">
        <f t="shared" si="23"/>
        <v>0</v>
      </c>
      <c r="T308" s="153">
        <f>+VLOOKUP($L308,Data_Validation!$A:$D,1,0)</f>
        <v>5781</v>
      </c>
      <c r="U308" s="153" t="str">
        <f>+VLOOKUP($L308,Data_Validation!$A:$D,3,0)</f>
        <v>Pièces</v>
      </c>
      <c r="V308" s="153" t="str">
        <f>+VLOOKUP($L308,Data_Validation!$A:$D,4,0)</f>
        <v>Ventes Pneus</v>
      </c>
      <c r="W308" s="153" t="str">
        <f>+VLOOKUP($L308,Data_Validation!$A:$E,5,0)</f>
        <v>$</v>
      </c>
      <c r="X308" s="153">
        <f>+VLOOKUP($L308,Data_Validation!$A:$F,6,0)</f>
        <v>0</v>
      </c>
    </row>
    <row r="309" spans="1:24" ht="15.75" customHeight="1">
      <c r="A309" s="1430" t="s">
        <v>2720</v>
      </c>
      <c r="B309" s="1431">
        <v>5785</v>
      </c>
      <c r="C309" s="1433">
        <v>6616.82</v>
      </c>
      <c r="D309" s="1433">
        <v>5629.76</v>
      </c>
      <c r="E309" s="1433">
        <v>12246.58</v>
      </c>
      <c r="F309" s="1430" t="s">
        <v>421</v>
      </c>
      <c r="G309" s="1430" t="s">
        <v>2028</v>
      </c>
      <c r="H309" s="1233"/>
      <c r="I309" s="1234"/>
      <c r="J309" s="1234"/>
      <c r="K309" s="1234"/>
      <c r="L309" s="150">
        <f t="shared" si="18"/>
        <v>5785</v>
      </c>
      <c r="M309" s="151" t="str">
        <f t="shared" si="19"/>
        <v>C/V - VW PNEUS</v>
      </c>
      <c r="N309" s="152">
        <f>+IF(OR($Q309=Parametres!$G$2,$Q309=Parametres!$G$3),I309,C309)</f>
        <v>6616.82</v>
      </c>
      <c r="O309" s="152">
        <f>+IF(OR($Q309=Parametres!$G$2,$Q309=Parametres!$G$3),J309,D309)</f>
        <v>5629.76</v>
      </c>
      <c r="P309" s="152">
        <f>+IF(OR($Q309=Parametres!$G$2,$Q309=Parametres!$G$3),K309,E309)</f>
        <v>12246.58</v>
      </c>
      <c r="Q309" s="151" t="str">
        <f t="shared" si="23"/>
        <v>6-Coût des ventes</v>
      </c>
      <c r="R309" s="150" t="str">
        <f t="shared" si="23"/>
        <v>4781</v>
      </c>
      <c r="S309" s="151">
        <f t="shared" si="23"/>
        <v>0</v>
      </c>
      <c r="T309" s="153">
        <f>+VLOOKUP($L309,Data_Validation!$A:$D,1,0)</f>
        <v>5785</v>
      </c>
      <c r="U309" s="153" t="str">
        <f>+VLOOKUP($L309,Data_Validation!$A:$D,3,0)</f>
        <v>Pièces</v>
      </c>
      <c r="V309" s="153" t="str">
        <f>+VLOOKUP($L309,Data_Validation!$A:$D,4,0)</f>
        <v>Ventes Pneus</v>
      </c>
      <c r="W309" s="153" t="str">
        <f>+VLOOKUP($L309,Data_Validation!$A:$E,5,0)</f>
        <v>$</v>
      </c>
      <c r="X309" s="153">
        <f>+VLOOKUP($L309,Data_Validation!$A:$F,6,0)</f>
        <v>0</v>
      </c>
    </row>
    <row r="310" spans="1:24" ht="15" customHeight="1">
      <c r="A310" s="1430" t="s">
        <v>2128</v>
      </c>
      <c r="B310" s="1431">
        <v>5796</v>
      </c>
      <c r="C310" s="1433">
        <v>-298.94</v>
      </c>
      <c r="D310" s="1433">
        <v>-497.57</v>
      </c>
      <c r="E310" s="1433">
        <v>-796.51</v>
      </c>
      <c r="F310" s="1430" t="s">
        <v>421</v>
      </c>
      <c r="G310" s="1430" t="s">
        <v>2130</v>
      </c>
      <c r="H310" s="1233"/>
      <c r="I310" s="1234"/>
      <c r="J310" s="1234"/>
      <c r="K310" s="1234"/>
      <c r="L310" s="150">
        <f t="shared" si="18"/>
        <v>5796</v>
      </c>
      <c r="M310" s="151" t="str">
        <f t="shared" si="19"/>
        <v>C/V - BONI / ESCPTE PI VW</v>
      </c>
      <c r="N310" s="152">
        <f>+IF(OR($Q310=Parametres!$G$2,$Q310=Parametres!$G$3),I310,C310)</f>
        <v>-298.94</v>
      </c>
      <c r="O310" s="152">
        <f>+IF(OR($Q310=Parametres!$G$2,$Q310=Parametres!$G$3),J310,D310)</f>
        <v>-497.57</v>
      </c>
      <c r="P310" s="152">
        <f>+IF(OR($Q310=Parametres!$G$2,$Q310=Parametres!$G$3),K310,E310)</f>
        <v>-796.51</v>
      </c>
      <c r="Q310" s="151" t="str">
        <f t="shared" si="23"/>
        <v>6-Coût des ventes</v>
      </c>
      <c r="R310" s="150" t="str">
        <f t="shared" si="23"/>
        <v>5792</v>
      </c>
      <c r="S310" s="151">
        <f t="shared" si="23"/>
        <v>0</v>
      </c>
      <c r="T310" s="153">
        <f>+VLOOKUP($L310,Data_Validation!$A:$D,1,0)</f>
        <v>5796</v>
      </c>
      <c r="U310" s="153" t="str">
        <f>+VLOOKUP($L310,Data_Validation!$A:$D,3,0)</f>
        <v>Pièces</v>
      </c>
      <c r="V310" s="153" t="str">
        <f>+VLOOKUP($L310,Data_Validation!$A:$D,4,0)</f>
        <v>Escomptes</v>
      </c>
      <c r="W310" s="153" t="str">
        <f>+VLOOKUP($L310,Data_Validation!$A:$E,5,0)</f>
        <v>$</v>
      </c>
      <c r="X310" s="153">
        <f>+VLOOKUP($L310,Data_Validation!$A:$F,6,0)</f>
        <v>0</v>
      </c>
    </row>
    <row r="311" spans="1:24" ht="15" customHeight="1">
      <c r="A311" s="1430" t="s">
        <v>1520</v>
      </c>
      <c r="B311" s="1431">
        <v>6101</v>
      </c>
      <c r="C311" s="1433">
        <v>414544.05</v>
      </c>
      <c r="D311" s="1433">
        <v>64675.77</v>
      </c>
      <c r="E311" s="1433">
        <v>479219.82</v>
      </c>
      <c r="F311" s="1430" t="s">
        <v>398</v>
      </c>
      <c r="G311" s="1430" t="s">
        <v>2772</v>
      </c>
      <c r="H311" s="1233"/>
      <c r="I311" s="1234"/>
      <c r="J311" s="1234"/>
      <c r="K311" s="1234"/>
      <c r="L311" s="150">
        <f t="shared" si="18"/>
        <v>6101</v>
      </c>
      <c r="M311" s="151" t="str">
        <f t="shared" si="19"/>
        <v>COMMISSION VENDEUR NEUFS</v>
      </c>
      <c r="N311" s="152">
        <f>+IF(OR($Q311=Parametres!$G$2,$Q311=Parametres!$G$3),I311,C311)</f>
        <v>414544.05</v>
      </c>
      <c r="O311" s="152">
        <f>+IF(OR($Q311=Parametres!$G$2,$Q311=Parametres!$G$3),J311,D311)</f>
        <v>64675.77</v>
      </c>
      <c r="P311" s="152">
        <f>+IF(OR($Q311=Parametres!$G$2,$Q311=Parametres!$G$3),K311,E311)</f>
        <v>479219.82</v>
      </c>
      <c r="Q311" s="151" t="str">
        <f t="shared" si="23"/>
        <v>7-Dépenses</v>
      </c>
      <c r="R311" s="150" t="str">
        <f t="shared" si="23"/>
        <v>6101</v>
      </c>
      <c r="S311" s="151">
        <f t="shared" si="23"/>
        <v>0</v>
      </c>
      <c r="T311" s="153">
        <f>+VLOOKUP($L311,Data_Validation!$A:$D,1,0)</f>
        <v>6101</v>
      </c>
      <c r="U311" s="153" t="str">
        <f>+VLOOKUP($L311,Data_Validation!$A:$D,3,0)</f>
        <v>Véhicules neufs</v>
      </c>
      <c r="V311" s="153" t="str">
        <f>+VLOOKUP($L311,Data_Validation!$A:$D,4,0)</f>
        <v>Comm. vendeurs</v>
      </c>
      <c r="W311" s="153" t="str">
        <f>+VLOOKUP($L311,Data_Validation!$A:$E,5,0)</f>
        <v>$</v>
      </c>
      <c r="X311" s="153">
        <f>+VLOOKUP($L311,Data_Validation!$A:$F,6,0)</f>
        <v>0</v>
      </c>
    </row>
    <row r="312" spans="1:24" ht="15" customHeight="1">
      <c r="A312" s="1430" t="s">
        <v>1439</v>
      </c>
      <c r="B312" s="1431">
        <v>6102</v>
      </c>
      <c r="C312" s="1433">
        <v>166376.54</v>
      </c>
      <c r="D312" s="1433">
        <v>22200.65</v>
      </c>
      <c r="E312" s="1433">
        <v>188577.19</v>
      </c>
      <c r="F312" s="1430" t="s">
        <v>398</v>
      </c>
      <c r="G312" s="1430" t="s">
        <v>2761</v>
      </c>
      <c r="H312" s="1233"/>
      <c r="I312" s="1234"/>
      <c r="J312" s="1234"/>
      <c r="K312" s="1234"/>
      <c r="L312" s="150">
        <f t="shared" si="18"/>
        <v>6102</v>
      </c>
      <c r="M312" s="151" t="str">
        <f t="shared" si="19"/>
        <v>RENUMERATION F &amp; I</v>
      </c>
      <c r="N312" s="152">
        <f>+IF(OR($Q312=Parametres!$G$2,$Q312=Parametres!$G$3),I312,C312)</f>
        <v>166376.54</v>
      </c>
      <c r="O312" s="152">
        <f>+IF(OR($Q312=Parametres!$G$2,$Q312=Parametres!$G$3),J312,D312)</f>
        <v>22200.65</v>
      </c>
      <c r="P312" s="152">
        <f>+IF(OR($Q312=Parametres!$G$2,$Q312=Parametres!$G$3),K312,E312)</f>
        <v>188577.19</v>
      </c>
      <c r="Q312" s="151" t="str">
        <f t="shared" si="23"/>
        <v>7-Dépenses</v>
      </c>
      <c r="R312" s="150" t="str">
        <f t="shared" si="23"/>
        <v>6102</v>
      </c>
      <c r="S312" s="151">
        <f t="shared" si="23"/>
        <v>0</v>
      </c>
      <c r="T312" s="153">
        <f>+VLOOKUP($L312,Data_Validation!$A:$D,1,0)</f>
        <v>6102</v>
      </c>
      <c r="U312" s="153" t="str">
        <f>+VLOOKUP($L312,Data_Validation!$A:$D,3,0)</f>
        <v>Véhicules neufs</v>
      </c>
      <c r="V312" s="153" t="str">
        <f>+VLOOKUP($L312,Data_Validation!$A:$D,4,0)</f>
        <v>Comm. F&amp;I</v>
      </c>
      <c r="W312" s="153" t="str">
        <f>+VLOOKUP($L312,Data_Validation!$A:$E,5,0)</f>
        <v>$</v>
      </c>
      <c r="X312" s="153">
        <f>+VLOOKUP($L312,Data_Validation!$A:$F,6,0)</f>
        <v>0</v>
      </c>
    </row>
    <row r="313" spans="1:24" ht="15" customHeight="1">
      <c r="A313" s="1430" t="s">
        <v>396</v>
      </c>
      <c r="B313" s="1431">
        <v>6103</v>
      </c>
      <c r="C313" s="1433">
        <v>6324.68</v>
      </c>
      <c r="D313" s="1433">
        <v>2812.84</v>
      </c>
      <c r="E313" s="1433">
        <v>9137.52</v>
      </c>
      <c r="F313" s="1430" t="s">
        <v>398</v>
      </c>
      <c r="G313" s="1430" t="s">
        <v>2697</v>
      </c>
      <c r="H313" s="1233"/>
      <c r="I313" s="1234"/>
      <c r="J313" s="1234"/>
      <c r="K313" s="1234"/>
      <c r="L313" s="150">
        <f t="shared" si="18"/>
        <v>6103</v>
      </c>
      <c r="M313" s="151" t="str">
        <f t="shared" si="19"/>
        <v>RELAT. A LA CLIENTELE &amp; AJUST.</v>
      </c>
      <c r="N313" s="152">
        <f>+IF(OR($Q313=Parametres!$G$2,$Q313=Parametres!$G$3),I313,C313)</f>
        <v>6324.68</v>
      </c>
      <c r="O313" s="152">
        <f>+IF(OR($Q313=Parametres!$G$2,$Q313=Parametres!$G$3),J313,D313)</f>
        <v>2812.84</v>
      </c>
      <c r="P313" s="152">
        <f>+IF(OR($Q313=Parametres!$G$2,$Q313=Parametres!$G$3),K313,E313)</f>
        <v>9137.52</v>
      </c>
      <c r="Q313" s="151" t="str">
        <f t="shared" si="23"/>
        <v>7-Dépenses</v>
      </c>
      <c r="R313" s="150" t="str">
        <f t="shared" si="23"/>
        <v>6103</v>
      </c>
      <c r="S313" s="151">
        <f t="shared" si="23"/>
        <v>0</v>
      </c>
      <c r="T313" s="153">
        <f>+VLOOKUP($L313,Data_Validation!$A:$D,1,0)</f>
        <v>6103</v>
      </c>
      <c r="U313" s="153" t="str">
        <f>+VLOOKUP($L313,Data_Validation!$A:$D,3,0)</f>
        <v>Véhicules neufs</v>
      </c>
      <c r="V313" s="153" t="str">
        <f>+VLOOKUP($L313,Data_Validation!$A:$D,4,0)</f>
        <v>Service gratuit 1</v>
      </c>
      <c r="W313" s="153" t="str">
        <f>+VLOOKUP($L313,Data_Validation!$A:$E,5,0)</f>
        <v>$</v>
      </c>
      <c r="X313" s="153">
        <f>+VLOOKUP($L313,Data_Validation!$A:$F,6,0)</f>
        <v>0</v>
      </c>
    </row>
    <row r="314" spans="1:24" ht="15" customHeight="1">
      <c r="A314" s="1430" t="s">
        <v>2748</v>
      </c>
      <c r="B314" s="1431">
        <v>6106</v>
      </c>
      <c r="C314" s="1433">
        <v>10146.959999999999</v>
      </c>
      <c r="D314" s="1433">
        <v>7586.82</v>
      </c>
      <c r="E314" s="1433">
        <v>17733.78</v>
      </c>
      <c r="F314" s="1430" t="s">
        <v>398</v>
      </c>
      <c r="G314" s="1430" t="s">
        <v>2750</v>
      </c>
      <c r="H314" s="1233"/>
      <c r="I314" s="1234"/>
      <c r="J314" s="1234"/>
      <c r="K314" s="1234"/>
      <c r="L314" s="150">
        <f t="shared" si="18"/>
        <v>6106</v>
      </c>
      <c r="M314" s="151" t="str">
        <f t="shared" si="19"/>
        <v>ENTRETIEN DES STOCKS</v>
      </c>
      <c r="N314" s="152">
        <f>+IF(OR($Q314=Parametres!$G$2,$Q314=Parametres!$G$3),I314,C314)</f>
        <v>10146.959999999999</v>
      </c>
      <c r="O314" s="152">
        <f>+IF(OR($Q314=Parametres!$G$2,$Q314=Parametres!$G$3),J314,D314)</f>
        <v>7586.82</v>
      </c>
      <c r="P314" s="152">
        <f>+IF(OR($Q314=Parametres!$G$2,$Q314=Parametres!$G$3),K314,E314)</f>
        <v>17733.78</v>
      </c>
      <c r="Q314" s="151" t="str">
        <f t="shared" si="23"/>
        <v>7-Dépenses</v>
      </c>
      <c r="R314" s="150" t="str">
        <f t="shared" si="23"/>
        <v>6106</v>
      </c>
      <c r="S314" s="151">
        <f t="shared" si="23"/>
        <v>0</v>
      </c>
      <c r="T314" s="153">
        <f>+VLOOKUP($L314,Data_Validation!$A:$D,1,0)</f>
        <v>6106</v>
      </c>
      <c r="U314" s="153" t="str">
        <f>+VLOOKUP($L314,Data_Validation!$A:$D,3,0)</f>
        <v>Véhicules neufs</v>
      </c>
      <c r="V314" s="153" t="str">
        <f>+VLOOKUP($L314,Data_Validation!$A:$D,4,0)</f>
        <v>Entretien stock</v>
      </c>
      <c r="W314" s="153" t="str">
        <f>+VLOOKUP($L314,Data_Validation!$A:$E,5,0)</f>
        <v>$</v>
      </c>
      <c r="X314" s="153">
        <f>+VLOOKUP($L314,Data_Validation!$A:$F,6,0)</f>
        <v>0</v>
      </c>
    </row>
    <row r="315" spans="1:24" ht="15" customHeight="1">
      <c r="A315" s="1430" t="s">
        <v>935</v>
      </c>
      <c r="B315" s="1431">
        <v>6107</v>
      </c>
      <c r="C315" s="1433">
        <v>130891.09</v>
      </c>
      <c r="D315" s="1433">
        <v>11794.8</v>
      </c>
      <c r="E315" s="1433">
        <v>142685.89000000001</v>
      </c>
      <c r="F315" s="1430" t="s">
        <v>398</v>
      </c>
      <c r="G315" s="1430" t="s">
        <v>2603</v>
      </c>
      <c r="H315" s="1233"/>
      <c r="I315" s="1234"/>
      <c r="J315" s="1234"/>
      <c r="K315" s="1234"/>
      <c r="L315" s="150">
        <f t="shared" si="18"/>
        <v>6107</v>
      </c>
      <c r="M315" s="151" t="str">
        <f t="shared" si="19"/>
        <v>INTERET-PLAN DE FINANCEMENT</v>
      </c>
      <c r="N315" s="152">
        <f>+IF(OR($Q315=Parametres!$G$2,$Q315=Parametres!$G$3),I315,C315)</f>
        <v>130891.09</v>
      </c>
      <c r="O315" s="152">
        <f>+IF(OR($Q315=Parametres!$G$2,$Q315=Parametres!$G$3),J315,D315)</f>
        <v>11794.8</v>
      </c>
      <c r="P315" s="152">
        <f>+IF(OR($Q315=Parametres!$G$2,$Q315=Parametres!$G$3),K315,E315)</f>
        <v>142685.89000000001</v>
      </c>
      <c r="Q315" s="151" t="str">
        <f t="shared" si="23"/>
        <v>7-Dépenses</v>
      </c>
      <c r="R315" s="150" t="str">
        <f t="shared" si="23"/>
        <v>6107</v>
      </c>
      <c r="S315" s="151">
        <f t="shared" si="23"/>
        <v>0</v>
      </c>
      <c r="T315" s="153">
        <f>+VLOOKUP($L315,Data_Validation!$A:$D,1,0)</f>
        <v>6107</v>
      </c>
      <c r="U315" s="153" t="str">
        <f>+VLOOKUP($L315,Data_Validation!$A:$D,3,0)</f>
        <v>Véhicules neufs</v>
      </c>
      <c r="V315" s="153" t="str">
        <f>+VLOOKUP($L315,Data_Validation!$A:$D,4,0)</f>
        <v>Intérêt de gros</v>
      </c>
      <c r="W315" s="153" t="str">
        <f>+VLOOKUP($L315,Data_Validation!$A:$E,5,0)</f>
        <v>$</v>
      </c>
      <c r="X315" s="153">
        <f>+VLOOKUP($L315,Data_Validation!$A:$F,6,0)</f>
        <v>0</v>
      </c>
    </row>
    <row r="316" spans="1:24" ht="15" customHeight="1">
      <c r="A316" s="1430" t="s">
        <v>1404</v>
      </c>
      <c r="B316" s="1431">
        <v>6108</v>
      </c>
      <c r="C316" s="1433">
        <v>103836.75</v>
      </c>
      <c r="D316" s="1433">
        <v>14214.78</v>
      </c>
      <c r="E316" s="1433">
        <v>118051.53</v>
      </c>
      <c r="F316" s="1430" t="s">
        <v>398</v>
      </c>
      <c r="G316" s="1430" t="s">
        <v>2687</v>
      </c>
      <c r="H316" s="1233"/>
      <c r="I316" s="1234"/>
      <c r="J316" s="1234"/>
      <c r="K316" s="1234"/>
      <c r="L316" s="150">
        <f t="shared" si="18"/>
        <v>6108</v>
      </c>
      <c r="M316" s="151" t="str">
        <f t="shared" si="19"/>
        <v>FRAIS DE LIVRAISON</v>
      </c>
      <c r="N316" s="152">
        <f>+IF(OR($Q316=Parametres!$G$2,$Q316=Parametres!$G$3),I316,C316)</f>
        <v>103836.75</v>
      </c>
      <c r="O316" s="152">
        <f>+IF(OR($Q316=Parametres!$G$2,$Q316=Parametres!$G$3),J316,D316)</f>
        <v>14214.78</v>
      </c>
      <c r="P316" s="152">
        <f>+IF(OR($Q316=Parametres!$G$2,$Q316=Parametres!$G$3),K316,E316)</f>
        <v>118051.53</v>
      </c>
      <c r="Q316" s="151" t="str">
        <f t="shared" si="23"/>
        <v>7-Dépenses</v>
      </c>
      <c r="R316" s="150" t="str">
        <f t="shared" si="23"/>
        <v>6108</v>
      </c>
      <c r="S316" s="151">
        <f t="shared" si="23"/>
        <v>0</v>
      </c>
      <c r="T316" s="153">
        <f>+VLOOKUP($L316,Data_Validation!$A:$D,1,0)</f>
        <v>6108</v>
      </c>
      <c r="U316" s="153" t="str">
        <f>+VLOOKUP($L316,Data_Validation!$A:$D,3,0)</f>
        <v>Véhicules neufs</v>
      </c>
      <c r="V316" s="153" t="str">
        <f>+VLOOKUP($L316,Data_Validation!$A:$D,4,0)</f>
        <v>Frais de livraison</v>
      </c>
      <c r="W316" s="153" t="str">
        <f>+VLOOKUP($L316,Data_Validation!$A:$E,5,0)</f>
        <v>$</v>
      </c>
      <c r="X316" s="153">
        <f>+VLOOKUP($L316,Data_Validation!$A:$F,6,0)</f>
        <v>0</v>
      </c>
    </row>
    <row r="317" spans="1:24" ht="15" customHeight="1">
      <c r="A317" s="1430" t="s">
        <v>1371</v>
      </c>
      <c r="B317" s="1431">
        <v>6114</v>
      </c>
      <c r="C317" s="1433">
        <v>170103.14</v>
      </c>
      <c r="D317" s="1433">
        <v>19172.689999999999</v>
      </c>
      <c r="E317" s="1433">
        <v>189275.83</v>
      </c>
      <c r="F317" s="1430" t="s">
        <v>398</v>
      </c>
      <c r="G317" s="1430" t="s">
        <v>2106</v>
      </c>
      <c r="H317" s="1233"/>
      <c r="I317" s="1234"/>
      <c r="J317" s="1234"/>
      <c r="K317" s="1234"/>
      <c r="L317" s="150">
        <f t="shared" si="18"/>
        <v>6114</v>
      </c>
      <c r="M317" s="151" t="str">
        <f t="shared" si="19"/>
        <v>PUBLICITE</v>
      </c>
      <c r="N317" s="152">
        <f>+IF(OR($Q317=Parametres!$G$2,$Q317=Parametres!$G$3),I317,C317)</f>
        <v>170103.14</v>
      </c>
      <c r="O317" s="152">
        <f>+IF(OR($Q317=Parametres!$G$2,$Q317=Parametres!$G$3),J317,D317)</f>
        <v>19172.689999999999</v>
      </c>
      <c r="P317" s="152">
        <f>+IF(OR($Q317=Parametres!$G$2,$Q317=Parametres!$G$3),K317,E317)</f>
        <v>189275.83</v>
      </c>
      <c r="Q317" s="151" t="str">
        <f t="shared" si="23"/>
        <v>7-Dépenses</v>
      </c>
      <c r="R317" s="150" t="str">
        <f t="shared" si="23"/>
        <v>6114</v>
      </c>
      <c r="S317" s="151">
        <f t="shared" si="23"/>
        <v>0</v>
      </c>
      <c r="T317" s="153">
        <f>+VLOOKUP($L317,Data_Validation!$A:$D,1,0)</f>
        <v>6114</v>
      </c>
      <c r="U317" s="153" t="str">
        <f>+VLOOKUP($L317,Data_Validation!$A:$D,3,0)</f>
        <v>Véhicules neufs</v>
      </c>
      <c r="V317" s="153" t="str">
        <f>+VLOOKUP($L317,Data_Validation!$A:$D,4,0)</f>
        <v>Publicité 1</v>
      </c>
      <c r="W317" s="153" t="str">
        <f>+VLOOKUP($L317,Data_Validation!$A:$E,5,0)</f>
        <v>$</v>
      </c>
      <c r="X317" s="153">
        <f>+VLOOKUP($L317,Data_Validation!$A:$F,6,0)</f>
        <v>0</v>
      </c>
    </row>
    <row r="318" spans="1:24" ht="15.75" customHeight="1">
      <c r="A318" s="1430" t="s">
        <v>2104</v>
      </c>
      <c r="B318" s="1431">
        <v>6115</v>
      </c>
      <c r="C318" s="1433">
        <v>-67950</v>
      </c>
      <c r="D318" s="1433">
        <v>-7800</v>
      </c>
      <c r="E318" s="1433">
        <v>-75750</v>
      </c>
      <c r="F318" s="1430" t="s">
        <v>398</v>
      </c>
      <c r="G318" s="1430" t="s">
        <v>2106</v>
      </c>
      <c r="H318" s="1233"/>
      <c r="I318" s="1234"/>
      <c r="J318" s="1234"/>
      <c r="K318" s="1234"/>
      <c r="L318" s="150">
        <f t="shared" si="18"/>
        <v>6115</v>
      </c>
      <c r="M318" s="151" t="str">
        <f t="shared" si="19"/>
        <v>CREDIT PUBLICITE NEUF</v>
      </c>
      <c r="N318" s="152">
        <f>+IF(OR($Q318=Parametres!$G$2,$Q318=Parametres!$G$3),I318,C318)</f>
        <v>-67950</v>
      </c>
      <c r="O318" s="152">
        <f>+IF(OR($Q318=Parametres!$G$2,$Q318=Parametres!$G$3),J318,D318)</f>
        <v>-7800</v>
      </c>
      <c r="P318" s="152">
        <f>+IF(OR($Q318=Parametres!$G$2,$Q318=Parametres!$G$3),K318,E318)</f>
        <v>-75750</v>
      </c>
      <c r="Q318" s="151" t="str">
        <f t="shared" si="23"/>
        <v>7-Dépenses</v>
      </c>
      <c r="R318" s="150" t="str">
        <f t="shared" si="23"/>
        <v>6114</v>
      </c>
      <c r="S318" s="151">
        <f t="shared" si="23"/>
        <v>0</v>
      </c>
      <c r="T318" s="153">
        <f>+VLOOKUP($L318,Data_Validation!$A:$D,1,0)</f>
        <v>6115</v>
      </c>
      <c r="U318" s="153" t="str">
        <f>+VLOOKUP($L318,Data_Validation!$A:$D,3,0)</f>
        <v>Véhicules neufs</v>
      </c>
      <c r="V318" s="153" t="str">
        <f>+VLOOKUP($L318,Data_Validation!$A:$D,4,0)</f>
        <v>Publicité 1</v>
      </c>
      <c r="W318" s="153" t="str">
        <f>+VLOOKUP($L318,Data_Validation!$A:$E,5,0)</f>
        <v>$</v>
      </c>
      <c r="X318" s="153">
        <f>+VLOOKUP($L318,Data_Validation!$A:$F,6,0)</f>
        <v>0</v>
      </c>
    </row>
    <row r="319" spans="1:24" ht="15" customHeight="1">
      <c r="A319" s="1430" t="s">
        <v>1256</v>
      </c>
      <c r="B319" s="1431">
        <v>6121</v>
      </c>
      <c r="C319" s="1433">
        <v>14588.13</v>
      </c>
      <c r="D319" s="1433">
        <v>3578.36</v>
      </c>
      <c r="E319" s="1433">
        <v>18166.490000000002</v>
      </c>
      <c r="F319" s="1430" t="s">
        <v>398</v>
      </c>
      <c r="G319" s="1430" t="s">
        <v>2639</v>
      </c>
      <c r="H319" s="1233"/>
      <c r="I319" s="1234"/>
      <c r="J319" s="1234"/>
      <c r="K319" s="1234"/>
      <c r="L319" s="150">
        <f t="shared" si="18"/>
        <v>6121</v>
      </c>
      <c r="M319" s="151" t="str">
        <f t="shared" si="19"/>
        <v>SALAIRES - PROPRIETAIRES</v>
      </c>
      <c r="N319" s="152">
        <f>+IF(OR($Q319=Parametres!$G$2,$Q319=Parametres!$G$3),I319,C319)</f>
        <v>14588.13</v>
      </c>
      <c r="O319" s="152">
        <f>+IF(OR($Q319=Parametres!$G$2,$Q319=Parametres!$G$3),J319,D319)</f>
        <v>3578.36</v>
      </c>
      <c r="P319" s="152">
        <f>+IF(OR($Q319=Parametres!$G$2,$Q319=Parametres!$G$3),K319,E319)</f>
        <v>18166.490000000002</v>
      </c>
      <c r="Q319" s="151" t="str">
        <f t="shared" si="23"/>
        <v>7-Dépenses</v>
      </c>
      <c r="R319" s="150" t="str">
        <f t="shared" si="23"/>
        <v>6121</v>
      </c>
      <c r="S319" s="151">
        <f t="shared" si="23"/>
        <v>0</v>
      </c>
      <c r="T319" s="153">
        <f>+VLOOKUP($L319,Data_Validation!$A:$D,1,0)</f>
        <v>6121</v>
      </c>
      <c r="U319" s="153" t="str">
        <f>+VLOOKUP($L319,Data_Validation!$A:$D,3,0)</f>
        <v>Véhicules neufs</v>
      </c>
      <c r="V319" s="153" t="str">
        <f>+VLOOKUP($L319,Data_Validation!$A:$D,4,0)</f>
        <v>Salaires propriétaire</v>
      </c>
      <c r="W319" s="153" t="str">
        <f>+VLOOKUP($L319,Data_Validation!$A:$E,5,0)</f>
        <v>$</v>
      </c>
      <c r="X319" s="153">
        <f>+VLOOKUP($L319,Data_Validation!$A:$F,6,0)</f>
        <v>0</v>
      </c>
    </row>
    <row r="320" spans="1:24" ht="15" customHeight="1">
      <c r="A320" s="1430" t="s">
        <v>2615</v>
      </c>
      <c r="B320" s="1431">
        <v>6122</v>
      </c>
      <c r="C320" s="1433">
        <v>185766.57</v>
      </c>
      <c r="D320" s="1433">
        <v>15615.19</v>
      </c>
      <c r="E320" s="1433">
        <v>201381.76000000001</v>
      </c>
      <c r="F320" s="1430" t="s">
        <v>398</v>
      </c>
      <c r="G320" s="1430" t="s">
        <v>2617</v>
      </c>
      <c r="H320" s="1233"/>
      <c r="I320" s="1234"/>
      <c r="J320" s="1234"/>
      <c r="K320" s="1234"/>
      <c r="L320" s="150">
        <f t="shared" si="18"/>
        <v>6122</v>
      </c>
      <c r="M320" s="151" t="str">
        <f t="shared" si="19"/>
        <v>SAL SUPERVISION / GERANT</v>
      </c>
      <c r="N320" s="152">
        <f>+IF(OR($Q320=Parametres!$G$2,$Q320=Parametres!$G$3),I320,C320)</f>
        <v>185766.57</v>
      </c>
      <c r="O320" s="152">
        <f>+IF(OR($Q320=Parametres!$G$2,$Q320=Parametres!$G$3),J320,D320)</f>
        <v>15615.19</v>
      </c>
      <c r="P320" s="152">
        <f>+IF(OR($Q320=Parametres!$G$2,$Q320=Parametres!$G$3),K320,E320)</f>
        <v>201381.76000000001</v>
      </c>
      <c r="Q320" s="151" t="str">
        <f t="shared" si="23"/>
        <v>7-Dépenses</v>
      </c>
      <c r="R320" s="150" t="str">
        <f t="shared" si="23"/>
        <v>6122</v>
      </c>
      <c r="S320" s="151">
        <f t="shared" si="23"/>
        <v>0</v>
      </c>
      <c r="T320" s="153">
        <f>+VLOOKUP($L320,Data_Validation!$A:$D,1,0)</f>
        <v>6122</v>
      </c>
      <c r="U320" s="153" t="str">
        <f>+VLOOKUP($L320,Data_Validation!$A:$D,3,0)</f>
        <v>Véhicules neufs</v>
      </c>
      <c r="V320" s="153" t="str">
        <f>+VLOOKUP($L320,Data_Validation!$A:$D,4,0)</f>
        <v>Salaires cadres</v>
      </c>
      <c r="W320" s="153" t="str">
        <f>+VLOOKUP($L320,Data_Validation!$A:$E,5,0)</f>
        <v>$</v>
      </c>
      <c r="X320" s="153">
        <f>+VLOOKUP($L320,Data_Validation!$A:$F,6,0)</f>
        <v>0</v>
      </c>
    </row>
    <row r="321" spans="1:24" ht="15" customHeight="1">
      <c r="A321" s="1430" t="s">
        <v>1339</v>
      </c>
      <c r="B321" s="1431">
        <v>6123</v>
      </c>
      <c r="C321" s="1433">
        <v>87140.15</v>
      </c>
      <c r="D321" s="1433">
        <v>9679.25</v>
      </c>
      <c r="E321" s="1433">
        <v>96819.4</v>
      </c>
      <c r="F321" s="1430" t="s">
        <v>398</v>
      </c>
      <c r="G321" s="1430" t="s">
        <v>2670</v>
      </c>
      <c r="H321" s="1233"/>
      <c r="I321" s="1234"/>
      <c r="J321" s="1234"/>
      <c r="K321" s="1234"/>
      <c r="L321" s="150">
        <f t="shared" si="18"/>
        <v>6123</v>
      </c>
      <c r="M321" s="151" t="str">
        <f t="shared" si="19"/>
        <v>SAL. &amp; RENUM. - CLERICAL</v>
      </c>
      <c r="N321" s="152">
        <f>+IF(OR($Q321=Parametres!$G$2,$Q321=Parametres!$G$3),I321,C321)</f>
        <v>87140.15</v>
      </c>
      <c r="O321" s="152">
        <f>+IF(OR($Q321=Parametres!$G$2,$Q321=Parametres!$G$3),J321,D321)</f>
        <v>9679.25</v>
      </c>
      <c r="P321" s="152">
        <f>+IF(OR($Q321=Parametres!$G$2,$Q321=Parametres!$G$3),K321,E321)</f>
        <v>96819.4</v>
      </c>
      <c r="Q321" s="151" t="str">
        <f t="shared" si="23"/>
        <v>7-Dépenses</v>
      </c>
      <c r="R321" s="150" t="str">
        <f t="shared" si="23"/>
        <v>6123</v>
      </c>
      <c r="S321" s="151">
        <f t="shared" si="23"/>
        <v>0</v>
      </c>
      <c r="T321" s="153">
        <f>+VLOOKUP($L321,Data_Validation!$A:$D,1,0)</f>
        <v>6123</v>
      </c>
      <c r="U321" s="153" t="str">
        <f>+VLOOKUP($L321,Data_Validation!$A:$D,3,0)</f>
        <v>Véhicules neufs</v>
      </c>
      <c r="V321" s="153" t="str">
        <f>+VLOOKUP($L321,Data_Validation!$A:$D,4,0)</f>
        <v>Salaires commis</v>
      </c>
      <c r="W321" s="153" t="str">
        <f>+VLOOKUP($L321,Data_Validation!$A:$E,5,0)</f>
        <v>$</v>
      </c>
      <c r="X321" s="153">
        <f>+VLOOKUP($L321,Data_Validation!$A:$F,6,0)</f>
        <v>0</v>
      </c>
    </row>
    <row r="322" spans="1:24" ht="15.75" customHeight="1">
      <c r="A322" s="1430" t="s">
        <v>1246</v>
      </c>
      <c r="B322" s="1431">
        <v>6124</v>
      </c>
      <c r="C322" s="1433">
        <v>84812.87</v>
      </c>
      <c r="D322" s="1433">
        <v>13369.82</v>
      </c>
      <c r="E322" s="1433">
        <v>98182.69</v>
      </c>
      <c r="F322" s="1430" t="s">
        <v>398</v>
      </c>
      <c r="G322" s="1430" t="s">
        <v>2726</v>
      </c>
      <c r="H322" s="1233"/>
      <c r="I322" s="1234"/>
      <c r="J322" s="1234"/>
      <c r="K322" s="1234"/>
      <c r="L322" s="150">
        <f t="shared" si="18"/>
        <v>6124</v>
      </c>
      <c r="M322" s="151" t="str">
        <f t="shared" si="19"/>
        <v>SALAIRES &amp; RENUM. - AUTRES</v>
      </c>
      <c r="N322" s="152">
        <f>+IF(OR($Q322=Parametres!$G$2,$Q322=Parametres!$G$3),I322,C322)</f>
        <v>84812.87</v>
      </c>
      <c r="O322" s="152">
        <f>+IF(OR($Q322=Parametres!$G$2,$Q322=Parametres!$G$3),J322,D322)</f>
        <v>13369.82</v>
      </c>
      <c r="P322" s="152">
        <f>+IF(OR($Q322=Parametres!$G$2,$Q322=Parametres!$G$3),K322,E322)</f>
        <v>98182.69</v>
      </c>
      <c r="Q322" s="151" t="str">
        <f t="shared" ref="Q322:S337" si="24">+F322</f>
        <v>7-Dépenses</v>
      </c>
      <c r="R322" s="150" t="str">
        <f t="shared" si="24"/>
        <v>6124</v>
      </c>
      <c r="S322" s="151">
        <f t="shared" si="24"/>
        <v>0</v>
      </c>
      <c r="T322" s="153">
        <f>+VLOOKUP($L322,Data_Validation!$A:$D,1,0)</f>
        <v>6124</v>
      </c>
      <c r="U322" s="153" t="str">
        <f>+VLOOKUP($L322,Data_Validation!$A:$D,3,0)</f>
        <v>Véhicules neufs</v>
      </c>
      <c r="V322" s="153" t="str">
        <f>+VLOOKUP($L322,Data_Validation!$A:$D,4,0)</f>
        <v>Salaires autres</v>
      </c>
      <c r="W322" s="153" t="str">
        <f>+VLOOKUP($L322,Data_Validation!$A:$E,5,0)</f>
        <v>$</v>
      </c>
      <c r="X322" s="153">
        <f>+VLOOKUP($L322,Data_Validation!$A:$F,6,0)</f>
        <v>0</v>
      </c>
    </row>
    <row r="323" spans="1:24" ht="15" customHeight="1">
      <c r="A323" s="1430" t="s">
        <v>1442</v>
      </c>
      <c r="B323" s="1431">
        <v>6129</v>
      </c>
      <c r="C323" s="1433">
        <v>135444</v>
      </c>
      <c r="D323" s="1433">
        <v>17533.28</v>
      </c>
      <c r="E323" s="1433">
        <v>152977.28</v>
      </c>
      <c r="F323" s="1430" t="s">
        <v>398</v>
      </c>
      <c r="G323" s="1430" t="s">
        <v>2632</v>
      </c>
      <c r="H323" s="1233"/>
      <c r="I323" s="1234"/>
      <c r="J323" s="1234"/>
      <c r="K323" s="1234"/>
      <c r="L323" s="150">
        <f t="shared" si="18"/>
        <v>6129</v>
      </c>
      <c r="M323" s="151" t="str">
        <f t="shared" si="19"/>
        <v>ABS., VACANCE &amp; SAL. JOURS FER</v>
      </c>
      <c r="N323" s="152">
        <f>+IF(OR($Q323=Parametres!$G$2,$Q323=Parametres!$G$3),I323,C323)</f>
        <v>135444</v>
      </c>
      <c r="O323" s="152">
        <f>+IF(OR($Q323=Parametres!$G$2,$Q323=Parametres!$G$3),J323,D323)</f>
        <v>17533.28</v>
      </c>
      <c r="P323" s="152">
        <f>+IF(OR($Q323=Parametres!$G$2,$Q323=Parametres!$G$3),K323,E323)</f>
        <v>152977.28</v>
      </c>
      <c r="Q323" s="151" t="str">
        <f t="shared" si="24"/>
        <v>7-Dépenses</v>
      </c>
      <c r="R323" s="150" t="str">
        <f t="shared" si="24"/>
        <v>6129</v>
      </c>
      <c r="S323" s="151">
        <f t="shared" si="24"/>
        <v>0</v>
      </c>
      <c r="T323" s="153">
        <f>+VLOOKUP($L323,Data_Validation!$A:$D,1,0)</f>
        <v>6129</v>
      </c>
      <c r="U323" s="153" t="str">
        <f>+VLOOKUP($L323,Data_Validation!$A:$D,3,0)</f>
        <v>Véhicules neufs</v>
      </c>
      <c r="V323" s="153" t="str">
        <f>+VLOOKUP($L323,Data_Validation!$A:$D,4,0)</f>
        <v>Salaires en absences</v>
      </c>
      <c r="W323" s="153" t="str">
        <f>+VLOOKUP($L323,Data_Validation!$A:$E,5,0)</f>
        <v>$</v>
      </c>
      <c r="X323" s="153">
        <f>+VLOOKUP($L323,Data_Validation!$A:$F,6,0)</f>
        <v>0</v>
      </c>
    </row>
    <row r="324" spans="1:24" ht="15" customHeight="1">
      <c r="A324" s="1430" t="s">
        <v>1249</v>
      </c>
      <c r="B324" s="1431">
        <v>6131</v>
      </c>
      <c r="C324" s="1433">
        <v>26701.98</v>
      </c>
      <c r="D324" s="1433">
        <v>1910.11</v>
      </c>
      <c r="E324" s="1433">
        <v>28612.09</v>
      </c>
      <c r="F324" s="1430" t="s">
        <v>398</v>
      </c>
      <c r="G324" s="1430" t="s">
        <v>2577</v>
      </c>
      <c r="H324" s="1233"/>
      <c r="I324" s="1234"/>
      <c r="J324" s="1234"/>
      <c r="K324" s="1234"/>
      <c r="L324" s="150">
        <f t="shared" si="18"/>
        <v>6131</v>
      </c>
      <c r="M324" s="151" t="str">
        <f t="shared" si="19"/>
        <v>CSST</v>
      </c>
      <c r="N324" s="152">
        <f>+IF(OR($Q324=Parametres!$G$2,$Q324=Parametres!$G$3),I324,C324)</f>
        <v>26701.98</v>
      </c>
      <c r="O324" s="152">
        <f>+IF(OR($Q324=Parametres!$G$2,$Q324=Parametres!$G$3),J324,D324)</f>
        <v>1910.11</v>
      </c>
      <c r="P324" s="152">
        <f>+IF(OR($Q324=Parametres!$G$2,$Q324=Parametres!$G$3),K324,E324)</f>
        <v>28612.09</v>
      </c>
      <c r="Q324" s="151" t="str">
        <f t="shared" si="24"/>
        <v>7-Dépenses</v>
      </c>
      <c r="R324" s="150" t="str">
        <f t="shared" si="24"/>
        <v>6131</v>
      </c>
      <c r="S324" s="151">
        <f t="shared" si="24"/>
        <v>0</v>
      </c>
      <c r="T324" s="153">
        <f>+VLOOKUP($L324,Data_Validation!$A:$D,1,0)</f>
        <v>6131</v>
      </c>
      <c r="U324" s="153" t="str">
        <f>+VLOOKUP($L324,Data_Validation!$A:$D,3,0)</f>
        <v>Véhicules neufs</v>
      </c>
      <c r="V324" s="153" t="str">
        <f>+VLOOKUP($L324,Data_Validation!$A:$D,4,0)</f>
        <v>Csst</v>
      </c>
      <c r="W324" s="153" t="str">
        <f>+VLOOKUP($L324,Data_Validation!$A:$E,5,0)</f>
        <v>$</v>
      </c>
      <c r="X324" s="153">
        <f>+VLOOKUP($L324,Data_Validation!$A:$F,6,0)</f>
        <v>0</v>
      </c>
    </row>
    <row r="325" spans="1:24" ht="15" customHeight="1">
      <c r="A325" s="1430" t="s">
        <v>1280</v>
      </c>
      <c r="B325" s="1431">
        <v>6132</v>
      </c>
      <c r="C325" s="1433">
        <v>106211.81</v>
      </c>
      <c r="D325" s="1433">
        <v>11460.63</v>
      </c>
      <c r="E325" s="1433">
        <v>117672.44</v>
      </c>
      <c r="F325" s="1430" t="s">
        <v>398</v>
      </c>
      <c r="G325" s="1430" t="s">
        <v>2676</v>
      </c>
      <c r="H325" s="1233"/>
      <c r="I325" s="1234"/>
      <c r="J325" s="1234"/>
      <c r="K325" s="1234"/>
      <c r="L325" s="150">
        <f t="shared" si="18"/>
        <v>6132</v>
      </c>
      <c r="M325" s="151" t="str">
        <f t="shared" si="19"/>
        <v>RRQ RAMQ AC</v>
      </c>
      <c r="N325" s="152">
        <f>+IF(OR($Q325=Parametres!$G$2,$Q325=Parametres!$G$3),I325,C325)</f>
        <v>106211.81</v>
      </c>
      <c r="O325" s="152">
        <f>+IF(OR($Q325=Parametres!$G$2,$Q325=Parametres!$G$3),J325,D325)</f>
        <v>11460.63</v>
      </c>
      <c r="P325" s="152">
        <f>+IF(OR($Q325=Parametres!$G$2,$Q325=Parametres!$G$3),K325,E325)</f>
        <v>117672.44</v>
      </c>
      <c r="Q325" s="151" t="str">
        <f t="shared" si="24"/>
        <v>7-Dépenses</v>
      </c>
      <c r="R325" s="150" t="str">
        <f t="shared" si="24"/>
        <v>6132</v>
      </c>
      <c r="S325" s="151">
        <f t="shared" si="24"/>
        <v>0</v>
      </c>
      <c r="T325" s="153">
        <f>+VLOOKUP($L325,Data_Validation!$A:$D,1,0)</f>
        <v>6132</v>
      </c>
      <c r="U325" s="153" t="str">
        <f>+VLOOKUP($L325,Data_Validation!$A:$D,3,0)</f>
        <v>Véhicules neufs</v>
      </c>
      <c r="V325" s="153" t="str">
        <f>+VLOOKUP($L325,Data_Validation!$A:$D,4,0)</f>
        <v>Déduction à la source</v>
      </c>
      <c r="W325" s="153" t="str">
        <f>+VLOOKUP($L325,Data_Validation!$A:$E,5,0)</f>
        <v>$</v>
      </c>
      <c r="X325" s="153">
        <f>+VLOOKUP($L325,Data_Validation!$A:$F,6,0)</f>
        <v>0</v>
      </c>
    </row>
    <row r="326" spans="1:24" ht="15" customHeight="1">
      <c r="A326" s="1430" t="s">
        <v>1411</v>
      </c>
      <c r="B326" s="1431">
        <v>6139</v>
      </c>
      <c r="C326" s="1433">
        <v>76118.45</v>
      </c>
      <c r="D326" s="1433">
        <v>8213.4500000000007</v>
      </c>
      <c r="E326" s="1433">
        <v>84331.9</v>
      </c>
      <c r="F326" s="1430" t="s">
        <v>398</v>
      </c>
      <c r="G326" s="1430" t="s">
        <v>2685</v>
      </c>
      <c r="H326" s="1233"/>
      <c r="I326" s="1234"/>
      <c r="J326" s="1234"/>
      <c r="K326" s="1234"/>
      <c r="L326" s="150">
        <f t="shared" si="18"/>
        <v>6139</v>
      </c>
      <c r="M326" s="151" t="str">
        <f t="shared" si="19"/>
        <v>ASSURANCE GROUPS</v>
      </c>
      <c r="N326" s="152">
        <f>+IF(OR($Q326=Parametres!$G$2,$Q326=Parametres!$G$3),I326,C326)</f>
        <v>76118.45</v>
      </c>
      <c r="O326" s="152">
        <f>+IF(OR($Q326=Parametres!$G$2,$Q326=Parametres!$G$3),J326,D326)</f>
        <v>8213.4500000000007</v>
      </c>
      <c r="P326" s="152">
        <f>+IF(OR($Q326=Parametres!$G$2,$Q326=Parametres!$G$3),K326,E326)</f>
        <v>84331.9</v>
      </c>
      <c r="Q326" s="151" t="str">
        <f t="shared" si="24"/>
        <v>7-Dépenses</v>
      </c>
      <c r="R326" s="150" t="str">
        <f t="shared" si="24"/>
        <v>6139</v>
      </c>
      <c r="S326" s="151">
        <f t="shared" si="24"/>
        <v>0</v>
      </c>
      <c r="T326" s="153">
        <f>+VLOOKUP($L326,Data_Validation!$A:$D,1,0)</f>
        <v>6139</v>
      </c>
      <c r="U326" s="153" t="str">
        <f>+VLOOKUP($L326,Data_Validation!$A:$D,3,0)</f>
        <v>Véhicules neufs</v>
      </c>
      <c r="V326" s="153" t="str">
        <f>+VLOOKUP($L326,Data_Validation!$A:$D,4,0)</f>
        <v>Bénéfices marginaux</v>
      </c>
      <c r="W326" s="153" t="str">
        <f>+VLOOKUP($L326,Data_Validation!$A:$E,5,0)</f>
        <v>$</v>
      </c>
      <c r="X326" s="153">
        <f>+VLOOKUP($L326,Data_Validation!$A:$F,6,0)</f>
        <v>0</v>
      </c>
    </row>
    <row r="327" spans="1:24" ht="15.75" customHeight="1">
      <c r="A327" s="1430" t="s">
        <v>1154</v>
      </c>
      <c r="B327" s="1431">
        <v>6142</v>
      </c>
      <c r="C327" s="1433">
        <v>874.72</v>
      </c>
      <c r="D327" s="1433">
        <v>20.79</v>
      </c>
      <c r="E327" s="1433">
        <v>895.51</v>
      </c>
      <c r="F327" s="1430" t="s">
        <v>398</v>
      </c>
      <c r="G327" s="1430" t="s">
        <v>2554</v>
      </c>
      <c r="H327" s="1233"/>
      <c r="I327" s="1234"/>
      <c r="J327" s="1234"/>
      <c r="K327" s="1234"/>
      <c r="L327" s="150">
        <f t="shared" si="18"/>
        <v>6142</v>
      </c>
      <c r="M327" s="151" t="str">
        <f t="shared" si="19"/>
        <v>FOURNITURES &amp; PETITS OUTILS</v>
      </c>
      <c r="N327" s="152">
        <f>+IF(OR($Q327=Parametres!$G$2,$Q327=Parametres!$G$3),I327,C327)</f>
        <v>874.72</v>
      </c>
      <c r="O327" s="152">
        <f>+IF(OR($Q327=Parametres!$G$2,$Q327=Parametres!$G$3),J327,D327)</f>
        <v>20.79</v>
      </c>
      <c r="P327" s="152">
        <f>+IF(OR($Q327=Parametres!$G$2,$Q327=Parametres!$G$3),K327,E327)</f>
        <v>895.51</v>
      </c>
      <c r="Q327" s="151" t="str">
        <f t="shared" si="24"/>
        <v>7-Dépenses</v>
      </c>
      <c r="R327" s="150" t="str">
        <f t="shared" si="24"/>
        <v>6142</v>
      </c>
      <c r="S327" s="151">
        <f t="shared" si="24"/>
        <v>0</v>
      </c>
      <c r="T327" s="153">
        <f>+VLOOKUP($L327,Data_Validation!$A:$D,1,0)</f>
        <v>6142</v>
      </c>
      <c r="U327" s="153" t="str">
        <f>+VLOOKUP($L327,Data_Validation!$A:$D,3,0)</f>
        <v>Véhicules neufs</v>
      </c>
      <c r="V327" s="153" t="str">
        <f>+VLOOKUP($L327,Data_Validation!$A:$D,4,0)</f>
        <v>Fournitures autres</v>
      </c>
      <c r="W327" s="153" t="str">
        <f>+VLOOKUP($L327,Data_Validation!$A:$E,5,0)</f>
        <v>$</v>
      </c>
      <c r="X327" s="153">
        <f>+VLOOKUP($L327,Data_Validation!$A:$F,6,0)</f>
        <v>0</v>
      </c>
    </row>
    <row r="328" spans="1:24" ht="15" customHeight="1">
      <c r="A328" s="1430" t="s">
        <v>931</v>
      </c>
      <c r="B328" s="1431">
        <v>6144</v>
      </c>
      <c r="C328" s="1433">
        <v>8693.36</v>
      </c>
      <c r="D328" s="1433">
        <v>897.37</v>
      </c>
      <c r="E328" s="1433">
        <v>9590.73</v>
      </c>
      <c r="F328" s="1430" t="s">
        <v>398</v>
      </c>
      <c r="G328" s="1430" t="s">
        <v>2552</v>
      </c>
      <c r="H328" s="1233"/>
      <c r="I328" s="1234"/>
      <c r="J328" s="1234"/>
      <c r="K328" s="1234"/>
      <c r="L328" s="150">
        <f t="shared" si="18"/>
        <v>6144</v>
      </c>
      <c r="M328" s="151" t="str">
        <f t="shared" si="19"/>
        <v>FORMATION</v>
      </c>
      <c r="N328" s="152">
        <f>+IF(OR($Q328=Parametres!$G$2,$Q328=Parametres!$G$3),I328,C328)</f>
        <v>8693.36</v>
      </c>
      <c r="O328" s="152">
        <f>+IF(OR($Q328=Parametres!$G$2,$Q328=Parametres!$G$3),J328,D328)</f>
        <v>897.37</v>
      </c>
      <c r="P328" s="152">
        <f>+IF(OR($Q328=Parametres!$G$2,$Q328=Parametres!$G$3),K328,E328)</f>
        <v>9590.73</v>
      </c>
      <c r="Q328" s="151" t="str">
        <f t="shared" si="24"/>
        <v>7-Dépenses</v>
      </c>
      <c r="R328" s="150" t="str">
        <f t="shared" si="24"/>
        <v>6144</v>
      </c>
      <c r="S328" s="151">
        <f t="shared" si="24"/>
        <v>0</v>
      </c>
      <c r="T328" s="153">
        <f>+VLOOKUP($L328,Data_Validation!$A:$D,1,0)</f>
        <v>6144</v>
      </c>
      <c r="U328" s="153" t="str">
        <f>+VLOOKUP($L328,Data_Validation!$A:$D,3,0)</f>
        <v>Véhicules neufs</v>
      </c>
      <c r="V328" s="153" t="str">
        <f>+VLOOKUP($L328,Data_Validation!$A:$D,4,0)</f>
        <v>Formation</v>
      </c>
      <c r="W328" s="153" t="str">
        <f>+VLOOKUP($L328,Data_Validation!$A:$E,5,0)</f>
        <v>$</v>
      </c>
      <c r="X328" s="153">
        <f>+VLOOKUP($L328,Data_Validation!$A:$F,6,0)</f>
        <v>0</v>
      </c>
    </row>
    <row r="329" spans="1:24" ht="15" customHeight="1">
      <c r="A329" s="1430" t="s">
        <v>1183</v>
      </c>
      <c r="B329" s="1431">
        <v>6145</v>
      </c>
      <c r="C329" s="1433">
        <v>67956.990000000005</v>
      </c>
      <c r="D329" s="1433">
        <v>8903.84</v>
      </c>
      <c r="E329" s="1433">
        <v>76860.83</v>
      </c>
      <c r="F329" s="1430" t="s">
        <v>398</v>
      </c>
      <c r="G329" s="1430" t="s">
        <v>2623</v>
      </c>
      <c r="H329" s="1233"/>
      <c r="I329" s="1234"/>
      <c r="J329" s="1234"/>
      <c r="K329" s="1234"/>
      <c r="L329" s="150">
        <f t="shared" si="18"/>
        <v>6145</v>
      </c>
      <c r="M329" s="151" t="str">
        <f t="shared" si="19"/>
        <v>VEHICULE DE COMPAGNIE - DEPENS</v>
      </c>
      <c r="N329" s="152">
        <f>+IF(OR($Q329=Parametres!$G$2,$Q329=Parametres!$G$3),I329,C329)</f>
        <v>67956.990000000005</v>
      </c>
      <c r="O329" s="152">
        <f>+IF(OR($Q329=Parametres!$G$2,$Q329=Parametres!$G$3),J329,D329)</f>
        <v>8903.84</v>
      </c>
      <c r="P329" s="152">
        <f>+IF(OR($Q329=Parametres!$G$2,$Q329=Parametres!$G$3),K329,E329)</f>
        <v>76860.83</v>
      </c>
      <c r="Q329" s="151" t="str">
        <f t="shared" si="24"/>
        <v>7-Dépenses</v>
      </c>
      <c r="R329" s="150" t="str">
        <f t="shared" si="24"/>
        <v>6145</v>
      </c>
      <c r="S329" s="151">
        <f t="shared" si="24"/>
        <v>0</v>
      </c>
      <c r="T329" s="153">
        <f>+VLOOKUP($L329,Data_Validation!$A:$D,1,0)</f>
        <v>6145</v>
      </c>
      <c r="U329" s="153" t="str">
        <f>+VLOOKUP($L329,Data_Validation!$A:$D,3,0)</f>
        <v>Véhicules neufs</v>
      </c>
      <c r="V329" s="153" t="str">
        <f>+VLOOKUP($L329,Data_Validation!$A:$D,4,0)</f>
        <v>Frais véhicules de cie</v>
      </c>
      <c r="W329" s="153" t="str">
        <f>+VLOOKUP($L329,Data_Validation!$A:$E,5,0)</f>
        <v>$</v>
      </c>
      <c r="X329" s="153">
        <f>+VLOOKUP($L329,Data_Validation!$A:$F,6,0)</f>
        <v>0</v>
      </c>
    </row>
    <row r="330" spans="1:24" ht="15" customHeight="1">
      <c r="A330" s="1430" t="s">
        <v>1177</v>
      </c>
      <c r="B330" s="1431">
        <v>6147</v>
      </c>
      <c r="C330" s="1433">
        <v>1738.69</v>
      </c>
      <c r="D330" s="1433">
        <v>207.14</v>
      </c>
      <c r="E330" s="1433">
        <v>1945.83</v>
      </c>
      <c r="F330" s="1430" t="s">
        <v>398</v>
      </c>
      <c r="G330" s="1430" t="s">
        <v>2572</v>
      </c>
      <c r="H330" s="1233"/>
      <c r="I330" s="1234"/>
      <c r="J330" s="1234"/>
      <c r="K330" s="1234"/>
      <c r="L330" s="150">
        <f t="shared" si="18"/>
        <v>6147</v>
      </c>
      <c r="M330" s="151" t="str">
        <f t="shared" si="19"/>
        <v>FRET/EXPRESS/TRANS. PAR CAMION</v>
      </c>
      <c r="N330" s="152">
        <f>+IF(OR($Q330=Parametres!$G$2,$Q330=Parametres!$G$3),I330,C330)</f>
        <v>1738.69</v>
      </c>
      <c r="O330" s="152">
        <f>+IF(OR($Q330=Parametres!$G$2,$Q330=Parametres!$G$3),J330,D330)</f>
        <v>207.14</v>
      </c>
      <c r="P330" s="152">
        <f>+IF(OR($Q330=Parametres!$G$2,$Q330=Parametres!$G$3),K330,E330)</f>
        <v>1945.83</v>
      </c>
      <c r="Q330" s="151" t="str">
        <f t="shared" si="24"/>
        <v>7-Dépenses</v>
      </c>
      <c r="R330" s="150" t="str">
        <f t="shared" si="24"/>
        <v>6147</v>
      </c>
      <c r="S330" s="151">
        <f t="shared" si="24"/>
        <v>0</v>
      </c>
      <c r="T330" s="153">
        <f>+VLOOKUP($L330,Data_Validation!$A:$D,1,0)</f>
        <v>6147</v>
      </c>
      <c r="U330" s="153" t="str">
        <f>+VLOOKUP($L330,Data_Validation!$A:$D,3,0)</f>
        <v>Véhicules neufs</v>
      </c>
      <c r="V330" s="153" t="str">
        <f>+VLOOKUP($L330,Data_Validation!$A:$D,4,0)</f>
        <v>Frais postaux</v>
      </c>
      <c r="W330" s="153" t="str">
        <f>+VLOOKUP($L330,Data_Validation!$A:$E,5,0)</f>
        <v>$</v>
      </c>
      <c r="X330" s="153">
        <f>+VLOOKUP($L330,Data_Validation!$A:$F,6,0)</f>
        <v>0</v>
      </c>
    </row>
    <row r="331" spans="1:24" ht="15" customHeight="1">
      <c r="A331" s="1430" t="s">
        <v>1283</v>
      </c>
      <c r="B331" s="1431">
        <v>6151</v>
      </c>
      <c r="C331" s="1433">
        <v>55257.73</v>
      </c>
      <c r="D331" s="1433">
        <v>5488.2</v>
      </c>
      <c r="E331" s="1433">
        <v>60745.93</v>
      </c>
      <c r="F331" s="1430" t="s">
        <v>398</v>
      </c>
      <c r="G331" s="1430" t="s">
        <v>2693</v>
      </c>
      <c r="H331" s="1233"/>
      <c r="I331" s="1234"/>
      <c r="J331" s="1234"/>
      <c r="K331" s="1234"/>
      <c r="L331" s="150">
        <f t="shared" si="18"/>
        <v>6151</v>
      </c>
      <c r="M331" s="151" t="str">
        <f t="shared" si="19"/>
        <v>DEP. DU TRAITEMENT DES DONNEES</v>
      </c>
      <c r="N331" s="152">
        <f>+IF(OR($Q331=Parametres!$G$2,$Q331=Parametres!$G$3),I331,C331)</f>
        <v>55257.73</v>
      </c>
      <c r="O331" s="152">
        <f>+IF(OR($Q331=Parametres!$G$2,$Q331=Parametres!$G$3),J331,D331)</f>
        <v>5488.2</v>
      </c>
      <c r="P331" s="152">
        <f>+IF(OR($Q331=Parametres!$G$2,$Q331=Parametres!$G$3),K331,E331)</f>
        <v>60745.93</v>
      </c>
      <c r="Q331" s="151" t="str">
        <f t="shared" si="24"/>
        <v>7-Dépenses</v>
      </c>
      <c r="R331" s="150" t="str">
        <f t="shared" si="24"/>
        <v>6151</v>
      </c>
      <c r="S331" s="151">
        <f t="shared" si="24"/>
        <v>0</v>
      </c>
      <c r="T331" s="153">
        <f>+VLOOKUP($L331,Data_Validation!$A:$D,1,0)</f>
        <v>6151</v>
      </c>
      <c r="U331" s="153" t="str">
        <f>+VLOOKUP($L331,Data_Validation!$A:$D,3,0)</f>
        <v>Véhicules neufs</v>
      </c>
      <c r="V331" s="153" t="str">
        <f>+VLOOKUP($L331,Data_Validation!$A:$D,4,0)</f>
        <v>Informatique</v>
      </c>
      <c r="W331" s="153" t="str">
        <f>+VLOOKUP($L331,Data_Validation!$A:$E,5,0)</f>
        <v>$</v>
      </c>
      <c r="X331" s="153">
        <f>+VLOOKUP($L331,Data_Validation!$A:$F,6,0)</f>
        <v>0</v>
      </c>
    </row>
    <row r="332" spans="1:24" ht="15" customHeight="1">
      <c r="A332" s="1430" t="s">
        <v>1203</v>
      </c>
      <c r="B332" s="1431">
        <v>6152</v>
      </c>
      <c r="C332" s="1433">
        <v>5668.68</v>
      </c>
      <c r="D332" s="1433">
        <v>351.16</v>
      </c>
      <c r="E332" s="1433">
        <v>6019.84</v>
      </c>
      <c r="F332" s="1430" t="s">
        <v>398</v>
      </c>
      <c r="G332" s="1430" t="s">
        <v>2579</v>
      </c>
      <c r="H332" s="1233"/>
      <c r="I332" s="1234"/>
      <c r="J332" s="1234"/>
      <c r="K332" s="1234"/>
      <c r="L332" s="150">
        <f t="shared" si="18"/>
        <v>6152</v>
      </c>
      <c r="M332" s="151" t="str">
        <f t="shared" si="19"/>
        <v>PAPETERIE</v>
      </c>
      <c r="N332" s="152">
        <f>+IF(OR($Q332=Parametres!$G$2,$Q332=Parametres!$G$3),I332,C332)</f>
        <v>5668.68</v>
      </c>
      <c r="O332" s="152">
        <f>+IF(OR($Q332=Parametres!$G$2,$Q332=Parametres!$G$3),J332,D332)</f>
        <v>351.16</v>
      </c>
      <c r="P332" s="152">
        <f>+IF(OR($Q332=Parametres!$G$2,$Q332=Parametres!$G$3),K332,E332)</f>
        <v>6019.84</v>
      </c>
      <c r="Q332" s="151" t="str">
        <f t="shared" si="24"/>
        <v>7-Dépenses</v>
      </c>
      <c r="R332" s="150" t="str">
        <f t="shared" si="24"/>
        <v>6152</v>
      </c>
      <c r="S332" s="151">
        <f t="shared" si="24"/>
        <v>0</v>
      </c>
      <c r="T332" s="153">
        <f>+VLOOKUP($L332,Data_Validation!$A:$D,1,0)</f>
        <v>6152</v>
      </c>
      <c r="U332" s="153" t="str">
        <f>+VLOOKUP($L332,Data_Validation!$A:$D,3,0)</f>
        <v>Véhicules neufs</v>
      </c>
      <c r="V332" s="153" t="str">
        <f>+VLOOKUP($L332,Data_Validation!$A:$D,4,0)</f>
        <v>Papeterie</v>
      </c>
      <c r="W332" s="153" t="str">
        <f>+VLOOKUP($L332,Data_Validation!$A:$E,5,0)</f>
        <v>$</v>
      </c>
      <c r="X332" s="153">
        <f>+VLOOKUP($L332,Data_Validation!$A:$F,6,0)</f>
        <v>0</v>
      </c>
    </row>
    <row r="333" spans="1:24" ht="15.75" customHeight="1">
      <c r="A333" s="1430" t="s">
        <v>1151</v>
      </c>
      <c r="B333" s="1431">
        <v>6153</v>
      </c>
      <c r="C333" s="1433">
        <v>2974.4</v>
      </c>
      <c r="D333" s="1433">
        <v>251.28</v>
      </c>
      <c r="E333" s="1433">
        <v>3225.68</v>
      </c>
      <c r="F333" s="1430" t="s">
        <v>398</v>
      </c>
      <c r="G333" s="1430" t="s">
        <v>2583</v>
      </c>
      <c r="H333" s="1233"/>
      <c r="I333" s="1234"/>
      <c r="J333" s="1234"/>
      <c r="K333" s="1234"/>
      <c r="L333" s="150">
        <f t="shared" si="18"/>
        <v>6153</v>
      </c>
      <c r="M333" s="151" t="str">
        <f t="shared" si="19"/>
        <v>TELEPHONE ET TELEX</v>
      </c>
      <c r="N333" s="152">
        <f>+IF(OR($Q333=Parametres!$G$2,$Q333=Parametres!$G$3),I333,C333)</f>
        <v>2974.4</v>
      </c>
      <c r="O333" s="152">
        <f>+IF(OR($Q333=Parametres!$G$2,$Q333=Parametres!$G$3),J333,D333)</f>
        <v>251.28</v>
      </c>
      <c r="P333" s="152">
        <f>+IF(OR($Q333=Parametres!$G$2,$Q333=Parametres!$G$3),K333,E333)</f>
        <v>3225.68</v>
      </c>
      <c r="Q333" s="151" t="str">
        <f t="shared" si="24"/>
        <v>7-Dépenses</v>
      </c>
      <c r="R333" s="150" t="str">
        <f t="shared" si="24"/>
        <v>6153</v>
      </c>
      <c r="S333" s="151">
        <f t="shared" si="24"/>
        <v>0</v>
      </c>
      <c r="T333" s="153">
        <f>+VLOOKUP($L333,Data_Validation!$A:$D,1,0)</f>
        <v>6153</v>
      </c>
      <c r="U333" s="153" t="str">
        <f>+VLOOKUP($L333,Data_Validation!$A:$D,3,0)</f>
        <v>Véhicules neufs</v>
      </c>
      <c r="V333" s="153" t="str">
        <f>+VLOOKUP($L333,Data_Validation!$A:$D,4,0)</f>
        <v>Téléphone</v>
      </c>
      <c r="W333" s="153" t="str">
        <f>+VLOOKUP($L333,Data_Validation!$A:$E,5,0)</f>
        <v>$</v>
      </c>
      <c r="X333" s="153">
        <f>+VLOOKUP($L333,Data_Validation!$A:$F,6,0)</f>
        <v>0</v>
      </c>
    </row>
    <row r="334" spans="1:24" ht="15.75" customHeight="1">
      <c r="A334" s="1430" t="s">
        <v>1234</v>
      </c>
      <c r="B334" s="1431">
        <v>6155</v>
      </c>
      <c r="C334" s="1433">
        <v>8912.7999999999993</v>
      </c>
      <c r="D334" s="1433">
        <v>752.13</v>
      </c>
      <c r="E334" s="1433">
        <v>9664.93</v>
      </c>
      <c r="F334" s="1430" t="s">
        <v>398</v>
      </c>
      <c r="G334" s="1430" t="s">
        <v>2628</v>
      </c>
      <c r="H334" s="1233"/>
      <c r="I334" s="1234"/>
      <c r="J334" s="1234"/>
      <c r="K334" s="1234"/>
      <c r="L334" s="150">
        <f t="shared" si="18"/>
        <v>6155</v>
      </c>
      <c r="M334" s="151" t="str">
        <f t="shared" si="19"/>
        <v>DEPENSES DIVERS</v>
      </c>
      <c r="N334" s="152">
        <f>+IF(OR($Q334=Parametres!$G$2,$Q334=Parametres!$G$3),I334,C334)</f>
        <v>8912.7999999999993</v>
      </c>
      <c r="O334" s="152">
        <f>+IF(OR($Q334=Parametres!$G$2,$Q334=Parametres!$G$3),J334,D334)</f>
        <v>752.13</v>
      </c>
      <c r="P334" s="152">
        <f>+IF(OR($Q334=Parametres!$G$2,$Q334=Parametres!$G$3),K334,E334)</f>
        <v>9664.93</v>
      </c>
      <c r="Q334" s="151" t="str">
        <f t="shared" si="24"/>
        <v>7-Dépenses</v>
      </c>
      <c r="R334" s="150" t="str">
        <f t="shared" si="24"/>
        <v>6155</v>
      </c>
      <c r="S334" s="151">
        <f t="shared" si="24"/>
        <v>0</v>
      </c>
      <c r="T334" s="153">
        <f>+VLOOKUP($L334,Data_Validation!$A:$D,1,0)</f>
        <v>6155</v>
      </c>
      <c r="U334" s="153" t="str">
        <f>+VLOOKUP($L334,Data_Validation!$A:$D,3,0)</f>
        <v>Véhicules neufs</v>
      </c>
      <c r="V334" s="153" t="str">
        <f>+VLOOKUP($L334,Data_Validation!$A:$D,4,0)</f>
        <v>Divers</v>
      </c>
      <c r="W334" s="153" t="str">
        <f>+VLOOKUP($L334,Data_Validation!$A:$E,5,0)</f>
        <v>$</v>
      </c>
      <c r="X334" s="153">
        <f>+VLOOKUP($L334,Data_Validation!$A:$F,6,0)</f>
        <v>0</v>
      </c>
    </row>
    <row r="335" spans="1:24" ht="15" customHeight="1">
      <c r="A335" s="1430" t="s">
        <v>1312</v>
      </c>
      <c r="B335" s="1431">
        <v>6156</v>
      </c>
      <c r="C335" s="1433">
        <v>5666.38</v>
      </c>
      <c r="D335" s="1433">
        <v>574.5</v>
      </c>
      <c r="E335" s="1433">
        <v>6240.88</v>
      </c>
      <c r="F335" s="1430" t="s">
        <v>398</v>
      </c>
      <c r="G335" s="1430" t="s">
        <v>2461</v>
      </c>
      <c r="H335" s="1233"/>
      <c r="I335" s="1234"/>
      <c r="J335" s="1234"/>
      <c r="K335" s="1234"/>
      <c r="L335" s="150">
        <f t="shared" si="18"/>
        <v>6156</v>
      </c>
      <c r="M335" s="151" t="str">
        <f t="shared" si="19"/>
        <v>FRAIS REPRESENTATION - NEUF</v>
      </c>
      <c r="N335" s="152">
        <f>+IF(OR($Q335=Parametres!$G$2,$Q335=Parametres!$G$3),I335,C335)</f>
        <v>5666.38</v>
      </c>
      <c r="O335" s="152">
        <f>+IF(OR($Q335=Parametres!$G$2,$Q335=Parametres!$G$3),J335,D335)</f>
        <v>574.5</v>
      </c>
      <c r="P335" s="152">
        <f>+IF(OR($Q335=Parametres!$G$2,$Q335=Parametres!$G$3),K335,E335)</f>
        <v>6240.88</v>
      </c>
      <c r="Q335" s="151" t="str">
        <f t="shared" si="24"/>
        <v>7-Dépenses</v>
      </c>
      <c r="R335" s="150" t="str">
        <f t="shared" si="24"/>
        <v>6156</v>
      </c>
      <c r="S335" s="151">
        <f t="shared" si="24"/>
        <v>0</v>
      </c>
      <c r="T335" s="153">
        <f>+VLOOKUP($L335,Data_Validation!$A:$D,1,0)</f>
        <v>6156</v>
      </c>
      <c r="U335" s="153" t="str">
        <f>+VLOOKUP($L335,Data_Validation!$A:$D,3,0)</f>
        <v>Véhicules neufs</v>
      </c>
      <c r="V335" s="153" t="str">
        <f>+VLOOKUP($L335,Data_Validation!$A:$D,4,0)</f>
        <v>Frais de déplacement</v>
      </c>
      <c r="W335" s="153" t="str">
        <f>+VLOOKUP($L335,Data_Validation!$A:$E,5,0)</f>
        <v>$</v>
      </c>
      <c r="X335" s="153">
        <f>+VLOOKUP($L335,Data_Validation!$A:$F,6,0)</f>
        <v>0</v>
      </c>
    </row>
    <row r="336" spans="1:24" ht="15" customHeight="1">
      <c r="A336" s="1430" t="s">
        <v>1305</v>
      </c>
      <c r="B336" s="1431">
        <v>6159</v>
      </c>
      <c r="C336" s="1433">
        <v>69982.17</v>
      </c>
      <c r="D336" s="1433">
        <v>9393.25</v>
      </c>
      <c r="E336" s="1433">
        <v>79375.42</v>
      </c>
      <c r="F336" s="1430" t="s">
        <v>398</v>
      </c>
      <c r="G336" s="1430" t="s">
        <v>2653</v>
      </c>
      <c r="H336" s="1233"/>
      <c r="I336" s="1234"/>
      <c r="J336" s="1234"/>
      <c r="K336" s="1234"/>
      <c r="L336" s="150">
        <f t="shared" si="18"/>
        <v>6159</v>
      </c>
      <c r="M336" s="151" t="str">
        <f t="shared" si="19"/>
        <v>SERVICE EXTERIEUR</v>
      </c>
      <c r="N336" s="152">
        <f>+IF(OR($Q336=Parametres!$G$2,$Q336=Parametres!$G$3),I336,C336)</f>
        <v>69982.17</v>
      </c>
      <c r="O336" s="152">
        <f>+IF(OR($Q336=Parametres!$G$2,$Q336=Parametres!$G$3),J336,D336)</f>
        <v>9393.25</v>
      </c>
      <c r="P336" s="152">
        <f>+IF(OR($Q336=Parametres!$G$2,$Q336=Parametres!$G$3),K336,E336)</f>
        <v>79375.42</v>
      </c>
      <c r="Q336" s="151" t="str">
        <f t="shared" si="24"/>
        <v>7-Dépenses</v>
      </c>
      <c r="R336" s="150" t="str">
        <f t="shared" si="24"/>
        <v>6159</v>
      </c>
      <c r="S336" s="151">
        <f t="shared" si="24"/>
        <v>0</v>
      </c>
      <c r="T336" s="153">
        <f>+VLOOKUP($L336,Data_Validation!$A:$D,1,0)</f>
        <v>6159</v>
      </c>
      <c r="U336" s="153" t="str">
        <f>+VLOOKUP($L336,Data_Validation!$A:$D,3,0)</f>
        <v>Véhicules neufs</v>
      </c>
      <c r="V336" s="153" t="str">
        <f>+VLOOKUP($L336,Data_Validation!$A:$D,4,0)</f>
        <v>Services extérieurs</v>
      </c>
      <c r="W336" s="153" t="str">
        <f>+VLOOKUP($L336,Data_Validation!$A:$E,5,0)</f>
        <v>$</v>
      </c>
      <c r="X336" s="153">
        <f>+VLOOKUP($L336,Data_Validation!$A:$F,6,0)</f>
        <v>0</v>
      </c>
    </row>
    <row r="337" spans="1:24" ht="15" customHeight="1">
      <c r="A337" s="1430" t="s">
        <v>1330</v>
      </c>
      <c r="B337" s="1431">
        <v>6161</v>
      </c>
      <c r="C337" s="1433">
        <v>14060.64</v>
      </c>
      <c r="D337" s="1433">
        <v>1989.6</v>
      </c>
      <c r="E337" s="1433">
        <v>16050.24</v>
      </c>
      <c r="F337" s="1430" t="s">
        <v>398</v>
      </c>
      <c r="G337" s="1430" t="s">
        <v>2644</v>
      </c>
      <c r="H337" s="1233"/>
      <c r="I337" s="1239"/>
      <c r="J337" s="1239"/>
      <c r="K337" s="1239"/>
      <c r="L337" s="150">
        <f t="shared" si="18"/>
        <v>6161</v>
      </c>
      <c r="M337" s="151" t="str">
        <f t="shared" si="19"/>
        <v>DEPRECIATION EQUIP. &amp; FIXTURES</v>
      </c>
      <c r="N337" s="152">
        <f>+IF(OR($Q337=Parametres!$G$2,$Q337=Parametres!$G$3),I337,C337)</f>
        <v>14060.64</v>
      </c>
      <c r="O337" s="152">
        <f>+IF(OR($Q337=Parametres!$G$2,$Q337=Parametres!$G$3),J337,D337)</f>
        <v>1989.6</v>
      </c>
      <c r="P337" s="152">
        <f>+IF(OR($Q337=Parametres!$G$2,$Q337=Parametres!$G$3),K337,E337)</f>
        <v>16050.24</v>
      </c>
      <c r="Q337" s="151" t="str">
        <f t="shared" si="24"/>
        <v>7-Dépenses</v>
      </c>
      <c r="R337" s="150" t="str">
        <f t="shared" si="24"/>
        <v>6161</v>
      </c>
      <c r="S337" s="151">
        <f t="shared" si="24"/>
        <v>0</v>
      </c>
      <c r="T337" s="153">
        <f>+VLOOKUP($L337,Data_Validation!$A:$D,1,0)</f>
        <v>6161</v>
      </c>
      <c r="U337" s="153" t="str">
        <f>+VLOOKUP($L337,Data_Validation!$A:$D,3,0)</f>
        <v>Véhicules neufs</v>
      </c>
      <c r="V337" s="153" t="str">
        <f>+VLOOKUP($L337,Data_Validation!$A:$D,4,0)</f>
        <v>Amortissement</v>
      </c>
      <c r="W337" s="153" t="str">
        <f>+VLOOKUP($L337,Data_Validation!$A:$E,5,0)</f>
        <v>$</v>
      </c>
      <c r="X337" s="153">
        <f>+VLOOKUP($L337,Data_Validation!$A:$F,6,0)</f>
        <v>0</v>
      </c>
    </row>
    <row r="338" spans="1:24" ht="15.75" customHeight="1">
      <c r="A338" s="1430" t="s">
        <v>1329</v>
      </c>
      <c r="B338" s="1431">
        <v>6181</v>
      </c>
      <c r="C338" s="1433">
        <v>8365.83</v>
      </c>
      <c r="D338" s="1433">
        <v>1108.78</v>
      </c>
      <c r="E338" s="1433">
        <v>9474.61</v>
      </c>
      <c r="F338" s="1430" t="s">
        <v>398</v>
      </c>
      <c r="G338" s="1430" t="s">
        <v>2595</v>
      </c>
      <c r="H338" s="1233"/>
      <c r="I338" s="1239"/>
      <c r="J338" s="1239"/>
      <c r="K338" s="1239"/>
      <c r="L338" s="150">
        <f t="shared" si="18"/>
        <v>6181</v>
      </c>
      <c r="M338" s="151" t="str">
        <f t="shared" si="19"/>
        <v>ELECTRICITE CHAUFFAGE</v>
      </c>
      <c r="N338" s="152">
        <f>+IF(OR($Q338=Parametres!$G$2,$Q338=Parametres!$G$3),I338,C338)</f>
        <v>8365.83</v>
      </c>
      <c r="O338" s="152">
        <f>+IF(OR($Q338=Parametres!$G$2,$Q338=Parametres!$G$3),J338,D338)</f>
        <v>1108.78</v>
      </c>
      <c r="P338" s="152">
        <f>+IF(OR($Q338=Parametres!$G$2,$Q338=Parametres!$G$3),K338,E338)</f>
        <v>9474.61</v>
      </c>
      <c r="Q338" s="151" t="str">
        <f t="shared" ref="Q338:S353" si="25">+F338</f>
        <v>7-Dépenses</v>
      </c>
      <c r="R338" s="150" t="str">
        <f t="shared" si="25"/>
        <v>6181</v>
      </c>
      <c r="S338" s="151">
        <f t="shared" si="25"/>
        <v>0</v>
      </c>
      <c r="T338" s="153">
        <f>+VLOOKUP($L338,Data_Validation!$A:$D,1,0)</f>
        <v>6181</v>
      </c>
      <c r="U338" s="153" t="str">
        <f>+VLOOKUP($L338,Data_Validation!$A:$D,3,0)</f>
        <v>Véhicules neufs</v>
      </c>
      <c r="V338" s="153" t="str">
        <f>+VLOOKUP($L338,Data_Validation!$A:$D,4,0)</f>
        <v>Chauffage, éclairage</v>
      </c>
      <c r="W338" s="153" t="str">
        <f>+VLOOKUP($L338,Data_Validation!$A:$E,5,0)</f>
        <v>$</v>
      </c>
      <c r="X338" s="153">
        <f>+VLOOKUP($L338,Data_Validation!$A:$F,6,0)</f>
        <v>0</v>
      </c>
    </row>
    <row r="339" spans="1:24" ht="15" customHeight="1">
      <c r="A339" s="1430" t="s">
        <v>1466</v>
      </c>
      <c r="B339" s="1431">
        <v>6182</v>
      </c>
      <c r="C339" s="1433">
        <v>83200</v>
      </c>
      <c r="D339" s="1433">
        <v>8320</v>
      </c>
      <c r="E339" s="1433">
        <v>91520</v>
      </c>
      <c r="F339" s="1430" t="s">
        <v>398</v>
      </c>
      <c r="G339" s="1430" t="s">
        <v>2700</v>
      </c>
      <c r="H339" s="1233"/>
      <c r="I339" s="1239"/>
      <c r="J339" s="1239"/>
      <c r="K339" s="1239"/>
      <c r="L339" s="150">
        <f t="shared" si="18"/>
        <v>6182</v>
      </c>
      <c r="M339" s="151" t="str">
        <f t="shared" si="19"/>
        <v>LOYER NEUFS</v>
      </c>
      <c r="N339" s="152">
        <f>+IF(OR($Q339=Parametres!$G$2,$Q339=Parametres!$G$3),I339,C339)</f>
        <v>83200</v>
      </c>
      <c r="O339" s="152">
        <f>+IF(OR($Q339=Parametres!$G$2,$Q339=Parametres!$G$3),J339,D339)</f>
        <v>8320</v>
      </c>
      <c r="P339" s="152">
        <f>+IF(OR($Q339=Parametres!$G$2,$Q339=Parametres!$G$3),K339,E339)</f>
        <v>91520</v>
      </c>
      <c r="Q339" s="151" t="str">
        <f t="shared" si="25"/>
        <v>7-Dépenses</v>
      </c>
      <c r="R339" s="150" t="str">
        <f t="shared" si="25"/>
        <v>6182</v>
      </c>
      <c r="S339" s="151">
        <f t="shared" si="25"/>
        <v>0</v>
      </c>
      <c r="T339" s="153">
        <f>+VLOOKUP($L339,Data_Validation!$A:$D,1,0)</f>
        <v>6182</v>
      </c>
      <c r="U339" s="153" t="str">
        <f>+VLOOKUP($L339,Data_Validation!$A:$D,3,0)</f>
        <v>Véhicules neufs</v>
      </c>
      <c r="V339" s="153" t="str">
        <f>+VLOOKUP($L339,Data_Validation!$A:$D,4,0)</f>
        <v>Loyer</v>
      </c>
      <c r="W339" s="153" t="str">
        <f>+VLOOKUP($L339,Data_Validation!$A:$E,5,0)</f>
        <v>$</v>
      </c>
      <c r="X339" s="153">
        <f>+VLOOKUP($L339,Data_Validation!$A:$F,6,0)</f>
        <v>0</v>
      </c>
    </row>
    <row r="340" spans="1:24" ht="15" customHeight="1">
      <c r="A340" s="1430" t="s">
        <v>1363</v>
      </c>
      <c r="B340" s="1431">
        <v>6186</v>
      </c>
      <c r="C340" s="1433">
        <v>11866</v>
      </c>
      <c r="D340" s="1433">
        <v>1186.5999999999999</v>
      </c>
      <c r="E340" s="1433">
        <v>13052.6</v>
      </c>
      <c r="F340" s="1430" t="s">
        <v>398</v>
      </c>
      <c r="G340" s="1430" t="s">
        <v>2585</v>
      </c>
      <c r="H340" s="1233"/>
      <c r="I340" s="1239"/>
      <c r="J340" s="1239"/>
      <c r="K340" s="1239"/>
      <c r="L340" s="150">
        <f t="shared" si="18"/>
        <v>6186</v>
      </c>
      <c r="M340" s="151" t="str">
        <f t="shared" si="19"/>
        <v>ASSURANCE BATIMENT</v>
      </c>
      <c r="N340" s="152">
        <f>+IF(OR($Q340=Parametres!$G$2,$Q340=Parametres!$G$3),I340,C340)</f>
        <v>11866</v>
      </c>
      <c r="O340" s="152">
        <f>+IF(OR($Q340=Parametres!$G$2,$Q340=Parametres!$G$3),J340,D340)</f>
        <v>1186.5999999999999</v>
      </c>
      <c r="P340" s="152">
        <f>+IF(OR($Q340=Parametres!$G$2,$Q340=Parametres!$G$3),K340,E340)</f>
        <v>13052.6</v>
      </c>
      <c r="Q340" s="151" t="str">
        <f t="shared" si="25"/>
        <v>7-Dépenses</v>
      </c>
      <c r="R340" s="150" t="str">
        <f t="shared" si="25"/>
        <v>6186</v>
      </c>
      <c r="S340" s="151">
        <f t="shared" si="25"/>
        <v>0</v>
      </c>
      <c r="T340" s="153">
        <f>+VLOOKUP($L340,Data_Validation!$A:$D,1,0)</f>
        <v>6186</v>
      </c>
      <c r="U340" s="153" t="str">
        <f>+VLOOKUP($L340,Data_Validation!$A:$D,3,0)</f>
        <v>Véhicules neufs</v>
      </c>
      <c r="V340" s="153" t="str">
        <f>+VLOOKUP($L340,Data_Validation!$A:$D,4,0)</f>
        <v>Assurances</v>
      </c>
      <c r="W340" s="153" t="str">
        <f>+VLOOKUP($L340,Data_Validation!$A:$E,5,0)</f>
        <v>$</v>
      </c>
      <c r="X340" s="153">
        <f>+VLOOKUP($L340,Data_Validation!$A:$F,6,0)</f>
        <v>0</v>
      </c>
    </row>
    <row r="341" spans="1:24" ht="15" customHeight="1">
      <c r="A341" s="1430" t="s">
        <v>1359</v>
      </c>
      <c r="B341" s="1431">
        <v>6187</v>
      </c>
      <c r="C341" s="1433">
        <v>15392</v>
      </c>
      <c r="D341" s="1433">
        <v>1539.2</v>
      </c>
      <c r="E341" s="1433">
        <v>16931.2</v>
      </c>
      <c r="F341" s="1430" t="s">
        <v>398</v>
      </c>
      <c r="G341" s="1430" t="s">
        <v>2605</v>
      </c>
      <c r="H341" s="1233"/>
      <c r="I341" s="1240"/>
      <c r="J341" s="1240"/>
      <c r="K341" s="1240"/>
      <c r="L341" s="150">
        <f t="shared" si="18"/>
        <v>6187</v>
      </c>
      <c r="M341" s="151" t="str">
        <f t="shared" si="19"/>
        <v>TAXE SUR PROPRIETE</v>
      </c>
      <c r="N341" s="152">
        <f>+IF(OR($Q341=Parametres!$G$2,$Q341=Parametres!$G$3),I341,C341)</f>
        <v>15392</v>
      </c>
      <c r="O341" s="152">
        <f>+IF(OR($Q341=Parametres!$G$2,$Q341=Parametres!$G$3),J341,D341)</f>
        <v>1539.2</v>
      </c>
      <c r="P341" s="152">
        <f>+IF(OR($Q341=Parametres!$G$2,$Q341=Parametres!$G$3),K341,E341)</f>
        <v>16931.2</v>
      </c>
      <c r="Q341" s="151" t="str">
        <f t="shared" si="25"/>
        <v>7-Dépenses</v>
      </c>
      <c r="R341" s="150" t="str">
        <f t="shared" si="25"/>
        <v>6187</v>
      </c>
      <c r="S341" s="151">
        <f t="shared" si="25"/>
        <v>0</v>
      </c>
      <c r="T341" s="153">
        <f>+VLOOKUP($L341,Data_Validation!$A:$D,1,0)</f>
        <v>6187</v>
      </c>
      <c r="U341" s="153" t="str">
        <f>+VLOOKUP($L341,Data_Validation!$A:$D,3,0)</f>
        <v>Véhicules neufs</v>
      </c>
      <c r="V341" s="153" t="str">
        <f>+VLOOKUP($L341,Data_Validation!$A:$D,4,0)</f>
        <v>Taxes foncières</v>
      </c>
      <c r="W341" s="153" t="str">
        <f>+VLOOKUP($L341,Data_Validation!$A:$E,5,0)</f>
        <v>$</v>
      </c>
      <c r="X341" s="153">
        <f>+VLOOKUP($L341,Data_Validation!$A:$F,6,0)</f>
        <v>0</v>
      </c>
    </row>
    <row r="342" spans="1:24" ht="15" customHeight="1">
      <c r="A342" s="1430" t="s">
        <v>1293</v>
      </c>
      <c r="B342" s="1431">
        <v>6193</v>
      </c>
      <c r="C342" s="1433">
        <v>10240</v>
      </c>
      <c r="D342" s="1433">
        <v>1024</v>
      </c>
      <c r="E342" s="1433">
        <v>11264</v>
      </c>
      <c r="F342" s="1430" t="s">
        <v>398</v>
      </c>
      <c r="G342" s="1430" t="s">
        <v>2588</v>
      </c>
      <c r="H342" s="1233"/>
      <c r="I342" s="1240"/>
      <c r="J342" s="1240"/>
      <c r="K342" s="1240"/>
      <c r="L342" s="150">
        <f t="shared" si="18"/>
        <v>6193</v>
      </c>
      <c r="M342" s="151" t="str">
        <f t="shared" si="19"/>
        <v>TAXES AUTRES PERMIS LICENCE</v>
      </c>
      <c r="N342" s="152">
        <f>+IF(OR($Q342=Parametres!$G$2,$Q342=Parametres!$G$3),I342,C342)</f>
        <v>10240</v>
      </c>
      <c r="O342" s="152">
        <f>+IF(OR($Q342=Parametres!$G$2,$Q342=Parametres!$G$3),J342,D342)</f>
        <v>1024</v>
      </c>
      <c r="P342" s="152">
        <f>+IF(OR($Q342=Parametres!$G$2,$Q342=Parametres!$G$3),K342,E342)</f>
        <v>11264</v>
      </c>
      <c r="Q342" s="151" t="str">
        <f t="shared" si="25"/>
        <v>7-Dépenses</v>
      </c>
      <c r="R342" s="150" t="str">
        <f t="shared" si="25"/>
        <v>6193</v>
      </c>
      <c r="S342" s="151">
        <f t="shared" si="25"/>
        <v>0</v>
      </c>
      <c r="T342" s="153">
        <f>+VLOOKUP($L342,Data_Validation!$A:$D,1,0)</f>
        <v>6193</v>
      </c>
      <c r="U342" s="153" t="str">
        <f>+VLOOKUP($L342,Data_Validation!$A:$D,3,0)</f>
        <v>Véhicules neufs</v>
      </c>
      <c r="V342" s="153" t="str">
        <f>+VLOOKUP($L342,Data_Validation!$A:$D,4,0)</f>
        <v>Taxes d`affaires</v>
      </c>
      <c r="W342" s="153" t="str">
        <f>+VLOOKUP($L342,Data_Validation!$A:$E,5,0)</f>
        <v>$</v>
      </c>
      <c r="X342" s="153">
        <f>+VLOOKUP($L342,Data_Validation!$A:$F,6,0)</f>
        <v>0</v>
      </c>
    </row>
    <row r="343" spans="1:24" ht="15.75" customHeight="1">
      <c r="A343" s="1430" t="s">
        <v>1392</v>
      </c>
      <c r="B343" s="1431">
        <v>6194</v>
      </c>
      <c r="C343" s="1433">
        <v>20594.439999999999</v>
      </c>
      <c r="D343" s="1433">
        <v>1989.47</v>
      </c>
      <c r="E343" s="1433">
        <v>22583.91</v>
      </c>
      <c r="F343" s="1430" t="s">
        <v>398</v>
      </c>
      <c r="G343" s="1430" t="s">
        <v>2626</v>
      </c>
      <c r="H343" s="1233"/>
      <c r="I343" s="1240"/>
      <c r="J343" s="1240"/>
      <c r="K343" s="1240"/>
      <c r="L343" s="150">
        <f t="shared" si="18"/>
        <v>6194</v>
      </c>
      <c r="M343" s="151" t="str">
        <f t="shared" si="19"/>
        <v>HONORAIRES PROFESSIONNELS</v>
      </c>
      <c r="N343" s="152">
        <f>+IF(OR($Q343=Parametres!$G$2,$Q343=Parametres!$G$3),I343,C343)</f>
        <v>20594.439999999999</v>
      </c>
      <c r="O343" s="152">
        <f>+IF(OR($Q343=Parametres!$G$2,$Q343=Parametres!$G$3),J343,D343)</f>
        <v>1989.47</v>
      </c>
      <c r="P343" s="152">
        <f>+IF(OR($Q343=Parametres!$G$2,$Q343=Parametres!$G$3),K343,E343)</f>
        <v>22583.91</v>
      </c>
      <c r="Q343" s="151" t="str">
        <f t="shared" si="25"/>
        <v>7-Dépenses</v>
      </c>
      <c r="R343" s="150" t="str">
        <f t="shared" si="25"/>
        <v>6194</v>
      </c>
      <c r="S343" s="151">
        <f t="shared" si="25"/>
        <v>0</v>
      </c>
      <c r="T343" s="153">
        <f>+VLOOKUP($L343,Data_Validation!$A:$D,1,0)</f>
        <v>6194</v>
      </c>
      <c r="U343" s="153" t="str">
        <f>+VLOOKUP($L343,Data_Validation!$A:$D,3,0)</f>
        <v>Véhicules neufs</v>
      </c>
      <c r="V343" s="153" t="str">
        <f>+VLOOKUP($L343,Data_Validation!$A:$D,4,0)</f>
        <v>Honoraires</v>
      </c>
      <c r="W343" s="153" t="str">
        <f>+VLOOKUP($L343,Data_Validation!$A:$E,5,0)</f>
        <v>$</v>
      </c>
      <c r="X343" s="153">
        <f>+VLOOKUP($L343,Data_Validation!$A:$F,6,0)</f>
        <v>0</v>
      </c>
    </row>
    <row r="344" spans="1:24" ht="15" customHeight="1">
      <c r="A344" s="1430" t="s">
        <v>1894</v>
      </c>
      <c r="B344" s="1431">
        <v>6195</v>
      </c>
      <c r="C344" s="1433">
        <v>0</v>
      </c>
      <c r="D344" s="1433">
        <v>44.8</v>
      </c>
      <c r="E344" s="1433">
        <v>44.8</v>
      </c>
      <c r="F344" s="1430" t="s">
        <v>398</v>
      </c>
      <c r="G344" s="1430" t="s">
        <v>3613</v>
      </c>
      <c r="H344" s="1233"/>
      <c r="I344" s="1240"/>
      <c r="J344" s="1240"/>
      <c r="K344" s="1240"/>
      <c r="L344" s="150">
        <f t="shared" si="18"/>
        <v>6195</v>
      </c>
      <c r="M344" s="151" t="str">
        <f t="shared" si="19"/>
        <v>CONTRIBUTION DONS</v>
      </c>
      <c r="N344" s="152">
        <f>+IF(OR($Q344=Parametres!$G$2,$Q344=Parametres!$G$3),I344,C344)</f>
        <v>0</v>
      </c>
      <c r="O344" s="152">
        <f>+IF(OR($Q344=Parametres!$G$2,$Q344=Parametres!$G$3),J344,D344)</f>
        <v>44.8</v>
      </c>
      <c r="P344" s="152">
        <f>+IF(OR($Q344=Parametres!$G$2,$Q344=Parametres!$G$3),K344,E344)</f>
        <v>44.8</v>
      </c>
      <c r="Q344" s="151" t="str">
        <f t="shared" si="25"/>
        <v>7-Dépenses</v>
      </c>
      <c r="R344" s="150" t="str">
        <f t="shared" si="25"/>
        <v>6195</v>
      </c>
      <c r="S344" s="151">
        <f t="shared" si="25"/>
        <v>0</v>
      </c>
      <c r="T344" s="153">
        <f>+VLOOKUP($L344,Data_Validation!$A:$D,1,0)</f>
        <v>6195</v>
      </c>
      <c r="U344" s="153" t="str">
        <f>+VLOOKUP($L344,Data_Validation!$A:$D,3,0)</f>
        <v>Véhicules neufs</v>
      </c>
      <c r="V344" s="153" t="str">
        <f>+VLOOKUP($L344,Data_Validation!$A:$D,4,0)</f>
        <v>Dons</v>
      </c>
      <c r="W344" s="153" t="str">
        <f>+VLOOKUP($L344,Data_Validation!$A:$E,5,0)</f>
        <v>$</v>
      </c>
      <c r="X344" s="153">
        <f>+VLOOKUP($L344,Data_Validation!$A:$F,6,0)</f>
        <v>0</v>
      </c>
    </row>
    <row r="345" spans="1:24" ht="15" customHeight="1">
      <c r="A345" s="1430" t="s">
        <v>1480</v>
      </c>
      <c r="B345" s="1431">
        <v>6201</v>
      </c>
      <c r="C345" s="1433">
        <v>176313.68</v>
      </c>
      <c r="D345" s="1433">
        <v>24414</v>
      </c>
      <c r="E345" s="1433">
        <v>200727.67999999999</v>
      </c>
      <c r="F345" s="1430" t="s">
        <v>398</v>
      </c>
      <c r="G345" s="1430" t="s">
        <v>2772</v>
      </c>
      <c r="H345" s="1233"/>
      <c r="I345" s="1240"/>
      <c r="J345" s="1240"/>
      <c r="K345" s="1240"/>
      <c r="L345" s="150">
        <f t="shared" si="18"/>
        <v>6201</v>
      </c>
      <c r="M345" s="151" t="str">
        <f t="shared" si="19"/>
        <v>COMMISSION USAGES</v>
      </c>
      <c r="N345" s="152">
        <f>+IF(OR($Q345=Parametres!$G$2,$Q345=Parametres!$G$3),I345,C345)</f>
        <v>176313.68</v>
      </c>
      <c r="O345" s="152">
        <f>+IF(OR($Q345=Parametres!$G$2,$Q345=Parametres!$G$3),J345,D345)</f>
        <v>24414</v>
      </c>
      <c r="P345" s="152">
        <f>+IF(OR($Q345=Parametres!$G$2,$Q345=Parametres!$G$3),K345,E345)</f>
        <v>200727.67999999999</v>
      </c>
      <c r="Q345" s="151" t="str">
        <f t="shared" si="25"/>
        <v>7-Dépenses</v>
      </c>
      <c r="R345" s="150" t="str">
        <f t="shared" si="25"/>
        <v>6101</v>
      </c>
      <c r="S345" s="151">
        <f t="shared" si="25"/>
        <v>0</v>
      </c>
      <c r="T345" s="153">
        <f>+VLOOKUP($L345,Data_Validation!$A:$D,1,0)</f>
        <v>6201</v>
      </c>
      <c r="U345" s="153" t="str">
        <f>+VLOOKUP($L345,Data_Validation!$A:$D,3,0)</f>
        <v>Véhicules usagés</v>
      </c>
      <c r="V345" s="153" t="str">
        <f>+VLOOKUP($L345,Data_Validation!$A:$D,4,0)</f>
        <v>Comm. vendeurs</v>
      </c>
      <c r="W345" s="153" t="str">
        <f>+VLOOKUP($L345,Data_Validation!$A:$E,5,0)</f>
        <v>$</v>
      </c>
      <c r="X345" s="153">
        <f>+VLOOKUP($L345,Data_Validation!$A:$F,6,0)</f>
        <v>0</v>
      </c>
    </row>
    <row r="346" spans="1:24" ht="15" customHeight="1">
      <c r="A346" s="1430" t="s">
        <v>1439</v>
      </c>
      <c r="B346" s="1431">
        <v>6202</v>
      </c>
      <c r="C346" s="1433">
        <v>213981.79</v>
      </c>
      <c r="D346" s="1433">
        <v>28568.27</v>
      </c>
      <c r="E346" s="1433">
        <v>242550.06</v>
      </c>
      <c r="F346" s="1430" t="s">
        <v>398</v>
      </c>
      <c r="G346" s="1430" t="s">
        <v>2761</v>
      </c>
      <c r="H346" s="1233"/>
      <c r="I346" s="1240"/>
      <c r="J346" s="1240"/>
      <c r="K346" s="1240"/>
      <c r="L346" s="150">
        <f t="shared" si="18"/>
        <v>6202</v>
      </c>
      <c r="M346" s="151" t="str">
        <f t="shared" si="19"/>
        <v>RENUMERATION F &amp; I</v>
      </c>
      <c r="N346" s="152">
        <f>+IF(OR($Q346=Parametres!$G$2,$Q346=Parametres!$G$3),I346,C346)</f>
        <v>213981.79</v>
      </c>
      <c r="O346" s="152">
        <f>+IF(OR($Q346=Parametres!$G$2,$Q346=Parametres!$G$3),J346,D346)</f>
        <v>28568.27</v>
      </c>
      <c r="P346" s="152">
        <f>+IF(OR($Q346=Parametres!$G$2,$Q346=Parametres!$G$3),K346,E346)</f>
        <v>242550.06</v>
      </c>
      <c r="Q346" s="151" t="str">
        <f t="shared" si="25"/>
        <v>7-Dépenses</v>
      </c>
      <c r="R346" s="150" t="str">
        <f t="shared" si="25"/>
        <v>6102</v>
      </c>
      <c r="S346" s="151">
        <f t="shared" si="25"/>
        <v>0</v>
      </c>
      <c r="T346" s="153">
        <f>+VLOOKUP($L346,Data_Validation!$A:$D,1,0)</f>
        <v>6202</v>
      </c>
      <c r="U346" s="153" t="str">
        <f>+VLOOKUP($L346,Data_Validation!$A:$D,3,0)</f>
        <v>Véhicules usagés</v>
      </c>
      <c r="V346" s="153" t="str">
        <f>+VLOOKUP($L346,Data_Validation!$A:$D,4,0)</f>
        <v>Comm. F&amp;I</v>
      </c>
      <c r="W346" s="153" t="str">
        <f>+VLOOKUP($L346,Data_Validation!$A:$E,5,0)</f>
        <v>$</v>
      </c>
      <c r="X346" s="153">
        <f>+VLOOKUP($L346,Data_Validation!$A:$F,6,0)</f>
        <v>0</v>
      </c>
    </row>
    <row r="347" spans="1:24" ht="15.75" customHeight="1">
      <c r="A347" s="1430" t="s">
        <v>1227</v>
      </c>
      <c r="B347" s="1431">
        <v>6203</v>
      </c>
      <c r="C347" s="1433">
        <v>7568.45</v>
      </c>
      <c r="D347" s="1433">
        <v>8166.93</v>
      </c>
      <c r="E347" s="1433">
        <v>15735.38</v>
      </c>
      <c r="F347" s="1430" t="s">
        <v>398</v>
      </c>
      <c r="G347" s="1430" t="s">
        <v>2697</v>
      </c>
      <c r="H347" s="1233"/>
      <c r="I347" s="1240"/>
      <c r="J347" s="1240"/>
      <c r="K347" s="1240"/>
      <c r="L347" s="150">
        <f t="shared" si="18"/>
        <v>6203</v>
      </c>
      <c r="M347" s="151" t="str">
        <f t="shared" si="19"/>
        <v>RELAT. A LA CLIENTELLE &amp; AJUST</v>
      </c>
      <c r="N347" s="152">
        <f>+IF(OR($Q347=Parametres!$G$2,$Q347=Parametres!$G$3),I347,C347)</f>
        <v>7568.45</v>
      </c>
      <c r="O347" s="152">
        <f>+IF(OR($Q347=Parametres!$G$2,$Q347=Parametres!$G$3),J347,D347)</f>
        <v>8166.93</v>
      </c>
      <c r="P347" s="152">
        <f>+IF(OR($Q347=Parametres!$G$2,$Q347=Parametres!$G$3),K347,E347)</f>
        <v>15735.38</v>
      </c>
      <c r="Q347" s="151" t="str">
        <f t="shared" si="25"/>
        <v>7-Dépenses</v>
      </c>
      <c r="R347" s="150" t="str">
        <f t="shared" si="25"/>
        <v>6103</v>
      </c>
      <c r="S347" s="151">
        <f t="shared" si="25"/>
        <v>0</v>
      </c>
      <c r="T347" s="153">
        <f>+VLOOKUP($L347,Data_Validation!$A:$D,1,0)</f>
        <v>6203</v>
      </c>
      <c r="U347" s="153" t="str">
        <f>+VLOOKUP($L347,Data_Validation!$A:$D,3,0)</f>
        <v>Véhicules usagés</v>
      </c>
      <c r="V347" s="153" t="str">
        <f>+VLOOKUP($L347,Data_Validation!$A:$D,4,0)</f>
        <v>Service gratuit 1</v>
      </c>
      <c r="W347" s="153" t="str">
        <f>+VLOOKUP($L347,Data_Validation!$A:$E,5,0)</f>
        <v>$</v>
      </c>
      <c r="X347" s="153">
        <f>+VLOOKUP($L347,Data_Validation!$A:$F,6,0)</f>
        <v>0</v>
      </c>
    </row>
    <row r="348" spans="1:24" ht="15" customHeight="1">
      <c r="A348" s="1430" t="s">
        <v>2748</v>
      </c>
      <c r="B348" s="1431">
        <v>6206</v>
      </c>
      <c r="C348" s="1433">
        <v>34449.949999999997</v>
      </c>
      <c r="D348" s="1433">
        <v>2670.66</v>
      </c>
      <c r="E348" s="1433">
        <v>37120.61</v>
      </c>
      <c r="F348" s="1430" t="s">
        <v>398</v>
      </c>
      <c r="G348" s="1430" t="s">
        <v>2750</v>
      </c>
      <c r="H348" s="1233"/>
      <c r="I348" s="1240"/>
      <c r="J348" s="1240"/>
      <c r="K348" s="1240"/>
      <c r="L348" s="150">
        <f t="shared" si="18"/>
        <v>6206</v>
      </c>
      <c r="M348" s="151" t="str">
        <f t="shared" si="19"/>
        <v>ENTRETIEN DES STOCKS</v>
      </c>
      <c r="N348" s="152">
        <f>+IF(OR($Q348=Parametres!$G$2,$Q348=Parametres!$G$3),I348,C348)</f>
        <v>34449.949999999997</v>
      </c>
      <c r="O348" s="152">
        <f>+IF(OR($Q348=Parametres!$G$2,$Q348=Parametres!$G$3),J348,D348)</f>
        <v>2670.66</v>
      </c>
      <c r="P348" s="152">
        <f>+IF(OR($Q348=Parametres!$G$2,$Q348=Parametres!$G$3),K348,E348)</f>
        <v>37120.61</v>
      </c>
      <c r="Q348" s="151" t="str">
        <f t="shared" si="25"/>
        <v>7-Dépenses</v>
      </c>
      <c r="R348" s="150" t="str">
        <f t="shared" si="25"/>
        <v>6106</v>
      </c>
      <c r="S348" s="151">
        <f t="shared" si="25"/>
        <v>0</v>
      </c>
      <c r="T348" s="153">
        <f>+VLOOKUP($L348,Data_Validation!$A:$D,1,0)</f>
        <v>6206</v>
      </c>
      <c r="U348" s="153" t="str">
        <f>+VLOOKUP($L348,Data_Validation!$A:$D,3,0)</f>
        <v>Véhicules usagés</v>
      </c>
      <c r="V348" s="153" t="str">
        <f>+VLOOKUP($L348,Data_Validation!$A:$D,4,0)</f>
        <v>Entretien stock</v>
      </c>
      <c r="W348" s="153" t="str">
        <f>+VLOOKUP($L348,Data_Validation!$A:$E,5,0)</f>
        <v>$</v>
      </c>
      <c r="X348" s="153">
        <f>+VLOOKUP($L348,Data_Validation!$A:$F,6,0)</f>
        <v>0</v>
      </c>
    </row>
    <row r="349" spans="1:24" ht="15" customHeight="1">
      <c r="A349" s="1430" t="s">
        <v>935</v>
      </c>
      <c r="B349" s="1431">
        <v>6207</v>
      </c>
      <c r="C349" s="1433">
        <v>5271.21</v>
      </c>
      <c r="D349" s="1433">
        <v>470.61</v>
      </c>
      <c r="E349" s="1433">
        <v>5741.82</v>
      </c>
      <c r="F349" s="1430" t="s">
        <v>398</v>
      </c>
      <c r="G349" s="1430" t="s">
        <v>2603</v>
      </c>
      <c r="H349" s="1233"/>
      <c r="I349" s="1240"/>
      <c r="J349" s="1240"/>
      <c r="K349" s="1240"/>
      <c r="L349" s="150">
        <f t="shared" si="18"/>
        <v>6207</v>
      </c>
      <c r="M349" s="151" t="str">
        <f t="shared" si="19"/>
        <v>INTERET-PLAN DE FINANCEMENT</v>
      </c>
      <c r="N349" s="152">
        <f>+IF(OR($Q349=Parametres!$G$2,$Q349=Parametres!$G$3),I349,C349)</f>
        <v>5271.21</v>
      </c>
      <c r="O349" s="152">
        <f>+IF(OR($Q349=Parametres!$G$2,$Q349=Parametres!$G$3),J349,D349)</f>
        <v>470.61</v>
      </c>
      <c r="P349" s="152">
        <f>+IF(OR($Q349=Parametres!$G$2,$Q349=Parametres!$G$3),K349,E349)</f>
        <v>5741.82</v>
      </c>
      <c r="Q349" s="151" t="str">
        <f t="shared" si="25"/>
        <v>7-Dépenses</v>
      </c>
      <c r="R349" s="150" t="str">
        <f t="shared" si="25"/>
        <v>6107</v>
      </c>
      <c r="S349" s="151">
        <f t="shared" si="25"/>
        <v>0</v>
      </c>
      <c r="T349" s="153">
        <f>+VLOOKUP($L349,Data_Validation!$A:$D,1,0)</f>
        <v>6207</v>
      </c>
      <c r="U349" s="153" t="str">
        <f>+VLOOKUP($L349,Data_Validation!$A:$D,3,0)</f>
        <v>Véhicules usagés</v>
      </c>
      <c r="V349" s="153" t="str">
        <f>+VLOOKUP($L349,Data_Validation!$A:$D,4,0)</f>
        <v>Intérêt de gros</v>
      </c>
      <c r="W349" s="153" t="str">
        <f>+VLOOKUP($L349,Data_Validation!$A:$E,5,0)</f>
        <v>$</v>
      </c>
      <c r="X349" s="153">
        <f>+VLOOKUP($L349,Data_Validation!$A:$F,6,0)</f>
        <v>0</v>
      </c>
    </row>
    <row r="350" spans="1:24" ht="15" customHeight="1">
      <c r="A350" s="1430" t="s">
        <v>1404</v>
      </c>
      <c r="B350" s="1431">
        <v>6208</v>
      </c>
      <c r="C350" s="1433">
        <v>26811.35</v>
      </c>
      <c r="D350" s="1433">
        <v>568.17999999999995</v>
      </c>
      <c r="E350" s="1433">
        <v>27379.53</v>
      </c>
      <c r="F350" s="1430" t="s">
        <v>398</v>
      </c>
      <c r="G350" s="1430" t="s">
        <v>2687</v>
      </c>
      <c r="H350" s="1233"/>
      <c r="I350" s="1240"/>
      <c r="J350" s="1240"/>
      <c r="K350" s="1240"/>
      <c r="L350" s="150">
        <f t="shared" si="18"/>
        <v>6208</v>
      </c>
      <c r="M350" s="151" t="str">
        <f t="shared" si="19"/>
        <v>FRAIS DE LIVRAISON</v>
      </c>
      <c r="N350" s="152">
        <f>+IF(OR($Q350=Parametres!$G$2,$Q350=Parametres!$G$3),I350,C350)</f>
        <v>26811.35</v>
      </c>
      <c r="O350" s="152">
        <f>+IF(OR($Q350=Parametres!$G$2,$Q350=Parametres!$G$3),J350,D350)</f>
        <v>568.17999999999995</v>
      </c>
      <c r="P350" s="152">
        <f>+IF(OR($Q350=Parametres!$G$2,$Q350=Parametres!$G$3),K350,E350)</f>
        <v>27379.53</v>
      </c>
      <c r="Q350" s="151" t="str">
        <f t="shared" si="25"/>
        <v>7-Dépenses</v>
      </c>
      <c r="R350" s="150" t="str">
        <f t="shared" si="25"/>
        <v>6108</v>
      </c>
      <c r="S350" s="151">
        <f t="shared" si="25"/>
        <v>0</v>
      </c>
      <c r="T350" s="153">
        <f>+VLOOKUP($L350,Data_Validation!$A:$D,1,0)</f>
        <v>6208</v>
      </c>
      <c r="U350" s="153" t="str">
        <f>+VLOOKUP($L350,Data_Validation!$A:$D,3,0)</f>
        <v>Véhicules usagés</v>
      </c>
      <c r="V350" s="153" t="str">
        <f>+VLOOKUP($L350,Data_Validation!$A:$D,4,0)</f>
        <v>Frais de livraison</v>
      </c>
      <c r="W350" s="153" t="str">
        <f>+VLOOKUP($L350,Data_Validation!$A:$E,5,0)</f>
        <v>$</v>
      </c>
      <c r="X350" s="153">
        <f>+VLOOKUP($L350,Data_Validation!$A:$F,6,0)</f>
        <v>0</v>
      </c>
    </row>
    <row r="351" spans="1:24" ht="15" customHeight="1">
      <c r="A351" s="1430" t="s">
        <v>1371</v>
      </c>
      <c r="B351" s="1431">
        <v>6214</v>
      </c>
      <c r="C351" s="1433">
        <v>65370.7</v>
      </c>
      <c r="D351" s="1433">
        <v>5942.49</v>
      </c>
      <c r="E351" s="1433">
        <v>71313.19</v>
      </c>
      <c r="F351" s="1430" t="s">
        <v>398</v>
      </c>
      <c r="G351" s="1430" t="s">
        <v>2106</v>
      </c>
      <c r="H351" s="1233"/>
      <c r="I351" s="1240"/>
      <c r="J351" s="1240"/>
      <c r="K351" s="1240"/>
      <c r="L351" s="150">
        <f t="shared" si="18"/>
        <v>6214</v>
      </c>
      <c r="M351" s="151" t="str">
        <f t="shared" si="19"/>
        <v>PUBLICITE</v>
      </c>
      <c r="N351" s="152">
        <f>+IF(OR($Q351=Parametres!$G$2,$Q351=Parametres!$G$3),I351,C351)</f>
        <v>65370.7</v>
      </c>
      <c r="O351" s="152">
        <f>+IF(OR($Q351=Parametres!$G$2,$Q351=Parametres!$G$3),J351,D351)</f>
        <v>5942.49</v>
      </c>
      <c r="P351" s="152">
        <f>+IF(OR($Q351=Parametres!$G$2,$Q351=Parametres!$G$3),K351,E351)</f>
        <v>71313.19</v>
      </c>
      <c r="Q351" s="151" t="str">
        <f t="shared" si="25"/>
        <v>7-Dépenses</v>
      </c>
      <c r="R351" s="150" t="str">
        <f t="shared" si="25"/>
        <v>6114</v>
      </c>
      <c r="S351" s="151">
        <f t="shared" si="25"/>
        <v>0</v>
      </c>
      <c r="T351" s="153">
        <f>+VLOOKUP($L351,Data_Validation!$A:$D,1,0)</f>
        <v>6214</v>
      </c>
      <c r="U351" s="153" t="str">
        <f>+VLOOKUP($L351,Data_Validation!$A:$D,3,0)</f>
        <v>Véhicules usagés</v>
      </c>
      <c r="V351" s="153" t="str">
        <f>+VLOOKUP($L351,Data_Validation!$A:$D,4,0)</f>
        <v>Publicité 1</v>
      </c>
      <c r="W351" s="153" t="str">
        <f>+VLOOKUP($L351,Data_Validation!$A:$E,5,0)</f>
        <v>$</v>
      </c>
      <c r="X351" s="153">
        <f>+VLOOKUP($L351,Data_Validation!$A:$F,6,0)</f>
        <v>0</v>
      </c>
    </row>
    <row r="352" spans="1:24" ht="15.75" customHeight="1">
      <c r="A352" s="1430" t="s">
        <v>2141</v>
      </c>
      <c r="B352" s="1431">
        <v>6215</v>
      </c>
      <c r="C352" s="1433">
        <v>-35300</v>
      </c>
      <c r="D352" s="1433">
        <v>-3600</v>
      </c>
      <c r="E352" s="1433">
        <v>-38900</v>
      </c>
      <c r="F352" s="1430" t="s">
        <v>398</v>
      </c>
      <c r="G352" s="1430" t="s">
        <v>2106</v>
      </c>
      <c r="H352" s="1233"/>
      <c r="I352" s="1240"/>
      <c r="J352" s="1240"/>
      <c r="K352" s="1240"/>
      <c r="L352" s="150">
        <f t="shared" si="18"/>
        <v>6215</v>
      </c>
      <c r="M352" s="151" t="str">
        <f t="shared" si="19"/>
        <v>CREDIT PUBLICITE USAGES</v>
      </c>
      <c r="N352" s="152">
        <f>+IF(OR($Q352=Parametres!$G$2,$Q352=Parametres!$G$3),I352,C352)</f>
        <v>-35300</v>
      </c>
      <c r="O352" s="152">
        <f>+IF(OR($Q352=Parametres!$G$2,$Q352=Parametres!$G$3),J352,D352)</f>
        <v>-3600</v>
      </c>
      <c r="P352" s="152">
        <f>+IF(OR($Q352=Parametres!$G$2,$Q352=Parametres!$G$3),K352,E352)</f>
        <v>-38900</v>
      </c>
      <c r="Q352" s="151" t="str">
        <f t="shared" si="25"/>
        <v>7-Dépenses</v>
      </c>
      <c r="R352" s="150" t="str">
        <f t="shared" si="25"/>
        <v>6114</v>
      </c>
      <c r="S352" s="151">
        <f t="shared" si="25"/>
        <v>0</v>
      </c>
      <c r="T352" s="153">
        <f>+VLOOKUP($L352,Data_Validation!$A:$D,1,0)</f>
        <v>6215</v>
      </c>
      <c r="U352" s="153" t="str">
        <f>+VLOOKUP($L352,Data_Validation!$A:$D,3,0)</f>
        <v>Véhicules usagés</v>
      </c>
      <c r="V352" s="153" t="str">
        <f>+VLOOKUP($L352,Data_Validation!$A:$D,4,0)</f>
        <v>Publicité 1</v>
      </c>
      <c r="W352" s="153" t="str">
        <f>+VLOOKUP($L352,Data_Validation!$A:$E,5,0)</f>
        <v>$</v>
      </c>
      <c r="X352" s="153">
        <f>+VLOOKUP($L352,Data_Validation!$A:$F,6,0)</f>
        <v>0</v>
      </c>
    </row>
    <row r="353" spans="1:24" ht="15" customHeight="1">
      <c r="A353" s="1430" t="s">
        <v>1256</v>
      </c>
      <c r="B353" s="1431">
        <v>6221</v>
      </c>
      <c r="C353" s="1433">
        <v>5470.52</v>
      </c>
      <c r="D353" s="1433">
        <v>1341.87</v>
      </c>
      <c r="E353" s="1433">
        <v>6812.39</v>
      </c>
      <c r="F353" s="1430" t="s">
        <v>398</v>
      </c>
      <c r="G353" s="1430" t="s">
        <v>2639</v>
      </c>
      <c r="H353" s="1233"/>
      <c r="I353" s="1240"/>
      <c r="J353" s="1240"/>
      <c r="K353" s="1240"/>
      <c r="L353" s="150">
        <f t="shared" si="18"/>
        <v>6221</v>
      </c>
      <c r="M353" s="151" t="str">
        <f t="shared" si="19"/>
        <v>SALAIRES - PROPRIETAIRES</v>
      </c>
      <c r="N353" s="152">
        <f>+IF(OR($Q353=Parametres!$G$2,$Q353=Parametres!$G$3),I353,C353)</f>
        <v>5470.52</v>
      </c>
      <c r="O353" s="152">
        <f>+IF(OR($Q353=Parametres!$G$2,$Q353=Parametres!$G$3),J353,D353)</f>
        <v>1341.87</v>
      </c>
      <c r="P353" s="152">
        <f>+IF(OR($Q353=Parametres!$G$2,$Q353=Parametres!$G$3),K353,E353)</f>
        <v>6812.39</v>
      </c>
      <c r="Q353" s="151" t="str">
        <f t="shared" si="25"/>
        <v>7-Dépenses</v>
      </c>
      <c r="R353" s="150" t="str">
        <f t="shared" si="25"/>
        <v>6121</v>
      </c>
      <c r="S353" s="151">
        <f t="shared" si="25"/>
        <v>0</v>
      </c>
      <c r="T353" s="153">
        <f>+VLOOKUP($L353,Data_Validation!$A:$D,1,0)</f>
        <v>6221</v>
      </c>
      <c r="U353" s="153" t="str">
        <f>+VLOOKUP($L353,Data_Validation!$A:$D,3,0)</f>
        <v>Véhicules usagés</v>
      </c>
      <c r="V353" s="153" t="str">
        <f>+VLOOKUP($L353,Data_Validation!$A:$D,4,0)</f>
        <v>Salaires propriétaire</v>
      </c>
      <c r="W353" s="153" t="str">
        <f>+VLOOKUP($L353,Data_Validation!$A:$E,5,0)</f>
        <v>$</v>
      </c>
      <c r="X353" s="153">
        <f>+VLOOKUP($L353,Data_Validation!$A:$F,6,0)</f>
        <v>0</v>
      </c>
    </row>
    <row r="354" spans="1:24" ht="15" customHeight="1">
      <c r="A354" s="1430" t="s">
        <v>2615</v>
      </c>
      <c r="B354" s="1431">
        <v>6222</v>
      </c>
      <c r="C354" s="1433">
        <v>98382.58</v>
      </c>
      <c r="D354" s="1433">
        <v>6511.85</v>
      </c>
      <c r="E354" s="1433">
        <v>104894.43</v>
      </c>
      <c r="F354" s="1430" t="s">
        <v>398</v>
      </c>
      <c r="G354" s="1430" t="s">
        <v>2617</v>
      </c>
      <c r="H354" s="1233"/>
      <c r="I354" s="1240"/>
      <c r="J354" s="1240"/>
      <c r="K354" s="1240"/>
      <c r="L354" s="150">
        <f t="shared" si="18"/>
        <v>6222</v>
      </c>
      <c r="M354" s="151" t="str">
        <f t="shared" si="19"/>
        <v>SAL SUPERVISION / GERANT</v>
      </c>
      <c r="N354" s="152">
        <f>+IF(OR($Q354=Parametres!$G$2,$Q354=Parametres!$G$3),I354,C354)</f>
        <v>98382.58</v>
      </c>
      <c r="O354" s="152">
        <f>+IF(OR($Q354=Parametres!$G$2,$Q354=Parametres!$G$3),J354,D354)</f>
        <v>6511.85</v>
      </c>
      <c r="P354" s="152">
        <f>+IF(OR($Q354=Parametres!$G$2,$Q354=Parametres!$G$3),K354,E354)</f>
        <v>104894.43</v>
      </c>
      <c r="Q354" s="151" t="str">
        <f t="shared" ref="Q354:S369" si="26">+F354</f>
        <v>7-Dépenses</v>
      </c>
      <c r="R354" s="150" t="str">
        <f t="shared" si="26"/>
        <v>6122</v>
      </c>
      <c r="S354" s="151">
        <f t="shared" si="26"/>
        <v>0</v>
      </c>
      <c r="T354" s="153">
        <f>+VLOOKUP($L354,Data_Validation!$A:$D,1,0)</f>
        <v>6222</v>
      </c>
      <c r="U354" s="153" t="str">
        <f>+VLOOKUP($L354,Data_Validation!$A:$D,3,0)</f>
        <v>Véhicules usagés</v>
      </c>
      <c r="V354" s="153" t="str">
        <f>+VLOOKUP($L354,Data_Validation!$A:$D,4,0)</f>
        <v>Salaires cadres</v>
      </c>
      <c r="W354" s="153" t="str">
        <f>+VLOOKUP($L354,Data_Validation!$A:$E,5,0)</f>
        <v>$</v>
      </c>
      <c r="X354" s="153">
        <f>+VLOOKUP($L354,Data_Validation!$A:$F,6,0)</f>
        <v>0</v>
      </c>
    </row>
    <row r="355" spans="1:24" ht="15" customHeight="1">
      <c r="A355" s="1430" t="s">
        <v>1339</v>
      </c>
      <c r="B355" s="1431">
        <v>6223</v>
      </c>
      <c r="C355" s="1433">
        <v>20218.46</v>
      </c>
      <c r="D355" s="1433">
        <v>2150.94</v>
      </c>
      <c r="E355" s="1433">
        <v>22369.4</v>
      </c>
      <c r="F355" s="1430" t="s">
        <v>398</v>
      </c>
      <c r="G355" s="1430" t="s">
        <v>2670</v>
      </c>
      <c r="H355" s="1233"/>
      <c r="I355" s="1240"/>
      <c r="J355" s="1240"/>
      <c r="K355" s="1240"/>
      <c r="L355" s="150">
        <f t="shared" si="18"/>
        <v>6223</v>
      </c>
      <c r="M355" s="151" t="str">
        <f t="shared" si="19"/>
        <v>SAL. &amp; RENUM. - CLERICAL</v>
      </c>
      <c r="N355" s="152">
        <f>+IF(OR($Q355=Parametres!$G$2,$Q355=Parametres!$G$3),I355,C355)</f>
        <v>20218.46</v>
      </c>
      <c r="O355" s="152">
        <f>+IF(OR($Q355=Parametres!$G$2,$Q355=Parametres!$G$3),J355,D355)</f>
        <v>2150.94</v>
      </c>
      <c r="P355" s="152">
        <f>+IF(OR($Q355=Parametres!$G$2,$Q355=Parametres!$G$3),K355,E355)</f>
        <v>22369.4</v>
      </c>
      <c r="Q355" s="151" t="str">
        <f t="shared" si="26"/>
        <v>7-Dépenses</v>
      </c>
      <c r="R355" s="150" t="str">
        <f t="shared" si="26"/>
        <v>6123</v>
      </c>
      <c r="S355" s="151">
        <f t="shared" si="26"/>
        <v>0</v>
      </c>
      <c r="T355" s="153">
        <f>+VLOOKUP($L355,Data_Validation!$A:$D,1,0)</f>
        <v>6223</v>
      </c>
      <c r="U355" s="153" t="str">
        <f>+VLOOKUP($L355,Data_Validation!$A:$D,3,0)</f>
        <v>Véhicules usagés</v>
      </c>
      <c r="V355" s="153" t="str">
        <f>+VLOOKUP($L355,Data_Validation!$A:$D,4,0)</f>
        <v>Salaires commis</v>
      </c>
      <c r="W355" s="153" t="str">
        <f>+VLOOKUP($L355,Data_Validation!$A:$E,5,0)</f>
        <v>$</v>
      </c>
      <c r="X355" s="153">
        <f>+VLOOKUP($L355,Data_Validation!$A:$F,6,0)</f>
        <v>0</v>
      </c>
    </row>
    <row r="356" spans="1:24" ht="15" customHeight="1">
      <c r="A356" s="1430" t="s">
        <v>1409</v>
      </c>
      <c r="B356" s="1431">
        <v>6224</v>
      </c>
      <c r="C356" s="1433">
        <v>75196.98</v>
      </c>
      <c r="D356" s="1433">
        <v>9755.44</v>
      </c>
      <c r="E356" s="1433">
        <v>84952.42</v>
      </c>
      <c r="F356" s="1430" t="s">
        <v>398</v>
      </c>
      <c r="G356" s="1430" t="s">
        <v>2726</v>
      </c>
      <c r="H356" s="1233"/>
      <c r="I356" s="1240"/>
      <c r="J356" s="1240"/>
      <c r="K356" s="1240"/>
      <c r="L356" s="150">
        <f t="shared" si="18"/>
        <v>6224</v>
      </c>
      <c r="M356" s="151" t="str">
        <f t="shared" si="19"/>
        <v>SALAIRE &amp; RENUM. - AUTRES</v>
      </c>
      <c r="N356" s="152">
        <f>+IF(OR($Q356=Parametres!$G$2,$Q356=Parametres!$G$3),I356,C356)</f>
        <v>75196.98</v>
      </c>
      <c r="O356" s="152">
        <f>+IF(OR($Q356=Parametres!$G$2,$Q356=Parametres!$G$3),J356,D356)</f>
        <v>9755.44</v>
      </c>
      <c r="P356" s="152">
        <f>+IF(OR($Q356=Parametres!$G$2,$Q356=Parametres!$G$3),K356,E356)</f>
        <v>84952.42</v>
      </c>
      <c r="Q356" s="151" t="str">
        <f t="shared" si="26"/>
        <v>7-Dépenses</v>
      </c>
      <c r="R356" s="150" t="str">
        <f t="shared" si="26"/>
        <v>6124</v>
      </c>
      <c r="S356" s="151">
        <f t="shared" si="26"/>
        <v>0</v>
      </c>
      <c r="T356" s="153">
        <f>+VLOOKUP($L356,Data_Validation!$A:$D,1,0)</f>
        <v>6224</v>
      </c>
      <c r="U356" s="153" t="str">
        <f>+VLOOKUP($L356,Data_Validation!$A:$D,3,0)</f>
        <v>Véhicules usagés</v>
      </c>
      <c r="V356" s="153" t="str">
        <f>+VLOOKUP($L356,Data_Validation!$A:$D,4,0)</f>
        <v>Salaires autres</v>
      </c>
      <c r="W356" s="153" t="str">
        <f>+VLOOKUP($L356,Data_Validation!$A:$E,5,0)</f>
        <v>$</v>
      </c>
      <c r="X356" s="153">
        <f>+VLOOKUP($L356,Data_Validation!$A:$F,6,0)</f>
        <v>0</v>
      </c>
    </row>
    <row r="357" spans="1:24" ht="15" customHeight="1">
      <c r="A357" s="1430" t="s">
        <v>1208</v>
      </c>
      <c r="B357" s="1431">
        <v>6229</v>
      </c>
      <c r="C357" s="1433">
        <v>34653.61</v>
      </c>
      <c r="D357" s="1433">
        <v>3296.16</v>
      </c>
      <c r="E357" s="1433">
        <v>37949.769999999997</v>
      </c>
      <c r="F357" s="1430" t="s">
        <v>398</v>
      </c>
      <c r="G357" s="1430" t="s">
        <v>2632</v>
      </c>
      <c r="H357" s="1233"/>
      <c r="I357" s="1240"/>
      <c r="J357" s="1240"/>
      <c r="K357" s="1240"/>
      <c r="L357" s="150">
        <f t="shared" si="18"/>
        <v>6229</v>
      </c>
      <c r="M357" s="151" t="str">
        <f t="shared" si="19"/>
        <v>ABS.,VACANCES &amp; SAL. JOURS FER</v>
      </c>
      <c r="N357" s="152">
        <f>+IF(OR($Q357=Parametres!$G$2,$Q357=Parametres!$G$3),I357,C357)</f>
        <v>34653.61</v>
      </c>
      <c r="O357" s="152">
        <f>+IF(OR($Q357=Parametres!$G$2,$Q357=Parametres!$G$3),J357,D357)</f>
        <v>3296.16</v>
      </c>
      <c r="P357" s="152">
        <f>+IF(OR($Q357=Parametres!$G$2,$Q357=Parametres!$G$3),K357,E357)</f>
        <v>37949.769999999997</v>
      </c>
      <c r="Q357" s="151" t="str">
        <f t="shared" si="26"/>
        <v>7-Dépenses</v>
      </c>
      <c r="R357" s="150" t="str">
        <f t="shared" si="26"/>
        <v>6129</v>
      </c>
      <c r="S357" s="151">
        <f t="shared" si="26"/>
        <v>0</v>
      </c>
      <c r="T357" s="153">
        <f>+VLOOKUP($L357,Data_Validation!$A:$D,1,0)</f>
        <v>6229</v>
      </c>
      <c r="U357" s="153" t="str">
        <f>+VLOOKUP($L357,Data_Validation!$A:$D,3,0)</f>
        <v>Véhicules usagés</v>
      </c>
      <c r="V357" s="153" t="str">
        <f>+VLOOKUP($L357,Data_Validation!$A:$D,4,0)</f>
        <v>Salaires en absences</v>
      </c>
      <c r="W357" s="153" t="str">
        <f>+VLOOKUP($L357,Data_Validation!$A:$E,5,0)</f>
        <v>$</v>
      </c>
      <c r="X357" s="153">
        <f>+VLOOKUP($L357,Data_Validation!$A:$F,6,0)</f>
        <v>0</v>
      </c>
    </row>
    <row r="358" spans="1:24" ht="15.75" customHeight="1">
      <c r="A358" s="1430" t="s">
        <v>1249</v>
      </c>
      <c r="B358" s="1431">
        <v>6231</v>
      </c>
      <c r="C358" s="1433">
        <v>9888.59</v>
      </c>
      <c r="D358" s="1433">
        <v>1070.23</v>
      </c>
      <c r="E358" s="1433">
        <v>10958.82</v>
      </c>
      <c r="F358" s="1430" t="s">
        <v>398</v>
      </c>
      <c r="G358" s="1430" t="s">
        <v>2577</v>
      </c>
      <c r="H358" s="1233"/>
      <c r="I358" s="1240"/>
      <c r="J358" s="1240"/>
      <c r="K358" s="1240"/>
      <c r="L358" s="150">
        <f t="shared" si="18"/>
        <v>6231</v>
      </c>
      <c r="M358" s="151" t="str">
        <f t="shared" si="19"/>
        <v>CSST</v>
      </c>
      <c r="N358" s="152">
        <f>+IF(OR($Q358=Parametres!$G$2,$Q358=Parametres!$G$3),I358,C358)</f>
        <v>9888.59</v>
      </c>
      <c r="O358" s="152">
        <f>+IF(OR($Q358=Parametres!$G$2,$Q358=Parametres!$G$3),J358,D358)</f>
        <v>1070.23</v>
      </c>
      <c r="P358" s="152">
        <f>+IF(OR($Q358=Parametres!$G$2,$Q358=Parametres!$G$3),K358,E358)</f>
        <v>10958.82</v>
      </c>
      <c r="Q358" s="151" t="str">
        <f t="shared" si="26"/>
        <v>7-Dépenses</v>
      </c>
      <c r="R358" s="150" t="str">
        <f t="shared" si="26"/>
        <v>6131</v>
      </c>
      <c r="S358" s="151">
        <f t="shared" si="26"/>
        <v>0</v>
      </c>
      <c r="T358" s="153">
        <f>+VLOOKUP($L358,Data_Validation!$A:$D,1,0)</f>
        <v>6231</v>
      </c>
      <c r="U358" s="153" t="str">
        <f>+VLOOKUP($L358,Data_Validation!$A:$D,3,0)</f>
        <v>Véhicules usagés</v>
      </c>
      <c r="V358" s="153" t="str">
        <f>+VLOOKUP($L358,Data_Validation!$A:$D,4,0)</f>
        <v>Csst</v>
      </c>
      <c r="W358" s="153" t="str">
        <f>+VLOOKUP($L358,Data_Validation!$A:$E,5,0)</f>
        <v>$</v>
      </c>
      <c r="X358" s="153">
        <f>+VLOOKUP($L358,Data_Validation!$A:$F,6,0)</f>
        <v>0</v>
      </c>
    </row>
    <row r="359" spans="1:24" ht="15" customHeight="1">
      <c r="A359" s="1430" t="s">
        <v>1280</v>
      </c>
      <c r="B359" s="1431">
        <v>6232</v>
      </c>
      <c r="C359" s="1433">
        <v>59331.55</v>
      </c>
      <c r="D359" s="1433">
        <v>6421.37</v>
      </c>
      <c r="E359" s="1433">
        <v>65752.92</v>
      </c>
      <c r="F359" s="1430" t="s">
        <v>398</v>
      </c>
      <c r="G359" s="1430" t="s">
        <v>2676</v>
      </c>
      <c r="H359" s="1233"/>
      <c r="I359" s="1240"/>
      <c r="J359" s="1240"/>
      <c r="K359" s="1240"/>
      <c r="L359" s="150">
        <f t="shared" si="18"/>
        <v>6232</v>
      </c>
      <c r="M359" s="151" t="str">
        <f t="shared" si="19"/>
        <v>RRQ RAMQ AC</v>
      </c>
      <c r="N359" s="152">
        <f>+IF(OR($Q359=Parametres!$G$2,$Q359=Parametres!$G$3),I359,C359)</f>
        <v>59331.55</v>
      </c>
      <c r="O359" s="152">
        <f>+IF(OR($Q359=Parametres!$G$2,$Q359=Parametres!$G$3),J359,D359)</f>
        <v>6421.37</v>
      </c>
      <c r="P359" s="152">
        <f>+IF(OR($Q359=Parametres!$G$2,$Q359=Parametres!$G$3),K359,E359)</f>
        <v>65752.92</v>
      </c>
      <c r="Q359" s="151" t="str">
        <f t="shared" si="26"/>
        <v>7-Dépenses</v>
      </c>
      <c r="R359" s="150" t="str">
        <f t="shared" si="26"/>
        <v>6132</v>
      </c>
      <c r="S359" s="151">
        <f t="shared" si="26"/>
        <v>0</v>
      </c>
      <c r="T359" s="153">
        <f>+VLOOKUP($L359,Data_Validation!$A:$D,1,0)</f>
        <v>6232</v>
      </c>
      <c r="U359" s="153" t="str">
        <f>+VLOOKUP($L359,Data_Validation!$A:$D,3,0)</f>
        <v>Véhicules usagés</v>
      </c>
      <c r="V359" s="153" t="str">
        <f>+VLOOKUP($L359,Data_Validation!$A:$D,4,0)</f>
        <v>Déduction à la source</v>
      </c>
      <c r="W359" s="153" t="str">
        <f>+VLOOKUP($L359,Data_Validation!$A:$E,5,0)</f>
        <v>$</v>
      </c>
      <c r="X359" s="153">
        <f>+VLOOKUP($L359,Data_Validation!$A:$F,6,0)</f>
        <v>0</v>
      </c>
    </row>
    <row r="360" spans="1:24" ht="15" customHeight="1">
      <c r="A360" s="1430" t="s">
        <v>1302</v>
      </c>
      <c r="B360" s="1431">
        <v>6239</v>
      </c>
      <c r="C360" s="1433">
        <v>42520.94</v>
      </c>
      <c r="D360" s="1433">
        <v>4601.9799999999996</v>
      </c>
      <c r="E360" s="1433">
        <v>47122.92</v>
      </c>
      <c r="F360" s="1430" t="s">
        <v>398</v>
      </c>
      <c r="G360" s="1430" t="s">
        <v>2685</v>
      </c>
      <c r="H360" s="1233"/>
      <c r="I360" s="1240"/>
      <c r="J360" s="1240"/>
      <c r="K360" s="1240"/>
      <c r="L360" s="150">
        <f t="shared" si="18"/>
        <v>6239</v>
      </c>
      <c r="M360" s="151" t="str">
        <f t="shared" si="19"/>
        <v>ASSURANCE GROUPE</v>
      </c>
      <c r="N360" s="152">
        <f>+IF(OR($Q360=Parametres!$G$2,$Q360=Parametres!$G$3),I360,C360)</f>
        <v>42520.94</v>
      </c>
      <c r="O360" s="152">
        <f>+IF(OR($Q360=Parametres!$G$2,$Q360=Parametres!$G$3),J360,D360)</f>
        <v>4601.9799999999996</v>
      </c>
      <c r="P360" s="152">
        <f>+IF(OR($Q360=Parametres!$G$2,$Q360=Parametres!$G$3),K360,E360)</f>
        <v>47122.92</v>
      </c>
      <c r="Q360" s="151" t="str">
        <f t="shared" si="26"/>
        <v>7-Dépenses</v>
      </c>
      <c r="R360" s="150" t="str">
        <f t="shared" si="26"/>
        <v>6139</v>
      </c>
      <c r="S360" s="151">
        <f t="shared" si="26"/>
        <v>0</v>
      </c>
      <c r="T360" s="153">
        <f>+VLOOKUP($L360,Data_Validation!$A:$D,1,0)</f>
        <v>6239</v>
      </c>
      <c r="U360" s="153" t="str">
        <f>+VLOOKUP($L360,Data_Validation!$A:$D,3,0)</f>
        <v>Véhicules usagés</v>
      </c>
      <c r="V360" s="153" t="str">
        <f>+VLOOKUP($L360,Data_Validation!$A:$D,4,0)</f>
        <v>Bénéfices marginaux</v>
      </c>
      <c r="W360" s="153" t="str">
        <f>+VLOOKUP($L360,Data_Validation!$A:$E,5,0)</f>
        <v>$</v>
      </c>
      <c r="X360" s="153">
        <f>+VLOOKUP($L360,Data_Validation!$A:$F,6,0)</f>
        <v>0</v>
      </c>
    </row>
    <row r="361" spans="1:24" ht="15" customHeight="1">
      <c r="A361" s="1430" t="s">
        <v>1154</v>
      </c>
      <c r="B361" s="1431">
        <v>6242</v>
      </c>
      <c r="C361" s="1433">
        <v>562.9</v>
      </c>
      <c r="D361" s="1433">
        <v>7.8</v>
      </c>
      <c r="E361" s="1433">
        <v>570.70000000000005</v>
      </c>
      <c r="F361" s="1430" t="s">
        <v>398</v>
      </c>
      <c r="G361" s="1430" t="s">
        <v>2554</v>
      </c>
      <c r="H361" s="1233"/>
      <c r="I361" s="1240"/>
      <c r="J361" s="1240"/>
      <c r="K361" s="1240"/>
      <c r="L361" s="150">
        <f t="shared" si="18"/>
        <v>6242</v>
      </c>
      <c r="M361" s="151" t="str">
        <f t="shared" si="19"/>
        <v>FOURNITURES &amp; PETITS OUTILS</v>
      </c>
      <c r="N361" s="152">
        <f>+IF(OR($Q361=Parametres!$G$2,$Q361=Parametres!$G$3),I361,C361)</f>
        <v>562.9</v>
      </c>
      <c r="O361" s="152">
        <f>+IF(OR($Q361=Parametres!$G$2,$Q361=Parametres!$G$3),J361,D361)</f>
        <v>7.8</v>
      </c>
      <c r="P361" s="152">
        <f>+IF(OR($Q361=Parametres!$G$2,$Q361=Parametres!$G$3),K361,E361)</f>
        <v>570.70000000000005</v>
      </c>
      <c r="Q361" s="151" t="str">
        <f t="shared" si="26"/>
        <v>7-Dépenses</v>
      </c>
      <c r="R361" s="150" t="str">
        <f t="shared" si="26"/>
        <v>6142</v>
      </c>
      <c r="S361" s="151">
        <f t="shared" si="26"/>
        <v>0</v>
      </c>
      <c r="T361" s="153">
        <f>+VLOOKUP($L361,Data_Validation!$A:$D,1,0)</f>
        <v>6242</v>
      </c>
      <c r="U361" s="153" t="str">
        <f>+VLOOKUP($L361,Data_Validation!$A:$D,3,0)</f>
        <v>Véhicules usagés</v>
      </c>
      <c r="V361" s="153" t="str">
        <f>+VLOOKUP($L361,Data_Validation!$A:$D,4,0)</f>
        <v>Fournitures autres</v>
      </c>
      <c r="W361" s="153" t="str">
        <f>+VLOOKUP($L361,Data_Validation!$A:$E,5,0)</f>
        <v>$</v>
      </c>
      <c r="X361" s="153">
        <f>+VLOOKUP($L361,Data_Validation!$A:$F,6,0)</f>
        <v>0</v>
      </c>
    </row>
    <row r="362" spans="1:24" ht="15.75" customHeight="1">
      <c r="A362" s="1430" t="s">
        <v>931</v>
      </c>
      <c r="B362" s="1431">
        <v>6244</v>
      </c>
      <c r="C362" s="1433">
        <v>706.2</v>
      </c>
      <c r="D362" s="1433">
        <v>10.62</v>
      </c>
      <c r="E362" s="1433">
        <v>716.82</v>
      </c>
      <c r="F362" s="1430" t="s">
        <v>398</v>
      </c>
      <c r="G362" s="1430" t="s">
        <v>2552</v>
      </c>
      <c r="H362" s="1233"/>
      <c r="I362" s="1240"/>
      <c r="J362" s="1240"/>
      <c r="K362" s="1240"/>
      <c r="L362" s="150">
        <f t="shared" si="18"/>
        <v>6244</v>
      </c>
      <c r="M362" s="151" t="str">
        <f t="shared" si="19"/>
        <v>FORMATION</v>
      </c>
      <c r="N362" s="152">
        <f>+IF(OR($Q362=Parametres!$G$2,$Q362=Parametres!$G$3),I362,C362)</f>
        <v>706.2</v>
      </c>
      <c r="O362" s="152">
        <f>+IF(OR($Q362=Parametres!$G$2,$Q362=Parametres!$G$3),J362,D362)</f>
        <v>10.62</v>
      </c>
      <c r="P362" s="152">
        <f>+IF(OR($Q362=Parametres!$G$2,$Q362=Parametres!$G$3),K362,E362)</f>
        <v>716.82</v>
      </c>
      <c r="Q362" s="151" t="str">
        <f t="shared" si="26"/>
        <v>7-Dépenses</v>
      </c>
      <c r="R362" s="150" t="str">
        <f t="shared" si="26"/>
        <v>6144</v>
      </c>
      <c r="S362" s="151">
        <f t="shared" si="26"/>
        <v>0</v>
      </c>
      <c r="T362" s="153">
        <f>+VLOOKUP($L362,Data_Validation!$A:$D,1,0)</f>
        <v>6244</v>
      </c>
      <c r="U362" s="153" t="str">
        <f>+VLOOKUP($L362,Data_Validation!$A:$D,3,0)</f>
        <v>Véhicules usagés</v>
      </c>
      <c r="V362" s="153" t="str">
        <f>+VLOOKUP($L362,Data_Validation!$A:$D,4,0)</f>
        <v>Formation</v>
      </c>
      <c r="W362" s="153" t="str">
        <f>+VLOOKUP($L362,Data_Validation!$A:$E,5,0)</f>
        <v>$</v>
      </c>
      <c r="X362" s="153">
        <f>+VLOOKUP($L362,Data_Validation!$A:$F,6,0)</f>
        <v>0</v>
      </c>
    </row>
    <row r="363" spans="1:24" ht="15.75" customHeight="1">
      <c r="A363" s="1430" t="s">
        <v>1183</v>
      </c>
      <c r="B363" s="1431">
        <v>6245</v>
      </c>
      <c r="C363" s="1433">
        <v>-3429.95</v>
      </c>
      <c r="D363" s="1433">
        <v>-270.08999999999997</v>
      </c>
      <c r="E363" s="1433">
        <v>-3700.04</v>
      </c>
      <c r="F363" s="1430" t="s">
        <v>398</v>
      </c>
      <c r="G363" s="1430" t="s">
        <v>2623</v>
      </c>
      <c r="H363" s="1233"/>
      <c r="I363" s="1240"/>
      <c r="J363" s="1240"/>
      <c r="K363" s="1240"/>
      <c r="L363" s="150">
        <f t="shared" si="18"/>
        <v>6245</v>
      </c>
      <c r="M363" s="151" t="str">
        <f t="shared" si="19"/>
        <v>VEHICULE DE COMPAGNIE - DEPENS</v>
      </c>
      <c r="N363" s="152">
        <f>+IF(OR($Q363=Parametres!$G$2,$Q363=Parametres!$G$3),I363,C363)</f>
        <v>-3429.95</v>
      </c>
      <c r="O363" s="152">
        <f>+IF(OR($Q363=Parametres!$G$2,$Q363=Parametres!$G$3),J363,D363)</f>
        <v>-270.08999999999997</v>
      </c>
      <c r="P363" s="152">
        <f>+IF(OR($Q363=Parametres!$G$2,$Q363=Parametres!$G$3),K363,E363)</f>
        <v>-3700.04</v>
      </c>
      <c r="Q363" s="151" t="str">
        <f t="shared" si="26"/>
        <v>7-Dépenses</v>
      </c>
      <c r="R363" s="150" t="str">
        <f t="shared" si="26"/>
        <v>6145</v>
      </c>
      <c r="S363" s="151">
        <f t="shared" si="26"/>
        <v>0</v>
      </c>
      <c r="T363" s="153">
        <f>+VLOOKUP($L363,Data_Validation!$A:$D,1,0)</f>
        <v>6245</v>
      </c>
      <c r="U363" s="153" t="str">
        <f>+VLOOKUP($L363,Data_Validation!$A:$D,3,0)</f>
        <v>Véhicules usagés</v>
      </c>
      <c r="V363" s="153" t="str">
        <f>+VLOOKUP($L363,Data_Validation!$A:$D,4,0)</f>
        <v>Frais véhicules de cie</v>
      </c>
      <c r="W363" s="153" t="str">
        <f>+VLOOKUP($L363,Data_Validation!$A:$E,5,0)</f>
        <v>$</v>
      </c>
      <c r="X363" s="153">
        <f>+VLOOKUP($L363,Data_Validation!$A:$F,6,0)</f>
        <v>0</v>
      </c>
    </row>
    <row r="364" spans="1:24" ht="15" customHeight="1">
      <c r="A364" s="1430" t="s">
        <v>1177</v>
      </c>
      <c r="B364" s="1431">
        <v>6247</v>
      </c>
      <c r="C364" s="1433">
        <v>786.21</v>
      </c>
      <c r="D364" s="1433">
        <v>127.03</v>
      </c>
      <c r="E364" s="1433">
        <v>913.24</v>
      </c>
      <c r="F364" s="1430" t="s">
        <v>398</v>
      </c>
      <c r="G364" s="1430" t="s">
        <v>2572</v>
      </c>
      <c r="H364" s="1233"/>
      <c r="I364" s="1240"/>
      <c r="J364" s="1240"/>
      <c r="K364" s="1240"/>
      <c r="L364" s="150">
        <f t="shared" si="18"/>
        <v>6247</v>
      </c>
      <c r="M364" s="151" t="str">
        <f t="shared" si="19"/>
        <v>FRET/EXPRESS/TRANS. PAR CAMION</v>
      </c>
      <c r="N364" s="152">
        <f>+IF(OR($Q364=Parametres!$G$2,$Q364=Parametres!$G$3),I364,C364)</f>
        <v>786.21</v>
      </c>
      <c r="O364" s="152">
        <f>+IF(OR($Q364=Parametres!$G$2,$Q364=Parametres!$G$3),J364,D364)</f>
        <v>127.03</v>
      </c>
      <c r="P364" s="152">
        <f>+IF(OR($Q364=Parametres!$G$2,$Q364=Parametres!$G$3),K364,E364)</f>
        <v>913.24</v>
      </c>
      <c r="Q364" s="151" t="str">
        <f t="shared" si="26"/>
        <v>7-Dépenses</v>
      </c>
      <c r="R364" s="150" t="str">
        <f t="shared" si="26"/>
        <v>6147</v>
      </c>
      <c r="S364" s="151">
        <f t="shared" si="26"/>
        <v>0</v>
      </c>
      <c r="T364" s="153">
        <f>+VLOOKUP($L364,Data_Validation!$A:$D,1,0)</f>
        <v>6247</v>
      </c>
      <c r="U364" s="153" t="str">
        <f>+VLOOKUP($L364,Data_Validation!$A:$D,3,0)</f>
        <v>Véhicules usagés</v>
      </c>
      <c r="V364" s="153" t="str">
        <f>+VLOOKUP($L364,Data_Validation!$A:$D,4,0)</f>
        <v>Frais postaux</v>
      </c>
      <c r="W364" s="153" t="str">
        <f>+VLOOKUP($L364,Data_Validation!$A:$E,5,0)</f>
        <v>$</v>
      </c>
      <c r="X364" s="153">
        <f>+VLOOKUP($L364,Data_Validation!$A:$F,6,0)</f>
        <v>0</v>
      </c>
    </row>
    <row r="365" spans="1:24" ht="15" customHeight="1">
      <c r="A365" s="1430" t="s">
        <v>1283</v>
      </c>
      <c r="B365" s="1431">
        <v>6251</v>
      </c>
      <c r="C365" s="1433">
        <v>18382.2</v>
      </c>
      <c r="D365" s="1433">
        <v>1808.74</v>
      </c>
      <c r="E365" s="1433">
        <v>20190.939999999999</v>
      </c>
      <c r="F365" s="1430" t="s">
        <v>398</v>
      </c>
      <c r="G365" s="1430" t="s">
        <v>2693</v>
      </c>
      <c r="H365" s="1233"/>
      <c r="I365" s="1240"/>
      <c r="J365" s="1240"/>
      <c r="K365" s="1240"/>
      <c r="L365" s="150">
        <f t="shared" si="18"/>
        <v>6251</v>
      </c>
      <c r="M365" s="151" t="str">
        <f t="shared" si="19"/>
        <v>DEP. DU TRAITEMENT DES DONNEES</v>
      </c>
      <c r="N365" s="152">
        <f>+IF(OR($Q365=Parametres!$G$2,$Q365=Parametres!$G$3),I365,C365)</f>
        <v>18382.2</v>
      </c>
      <c r="O365" s="152">
        <f>+IF(OR($Q365=Parametres!$G$2,$Q365=Parametres!$G$3),J365,D365)</f>
        <v>1808.74</v>
      </c>
      <c r="P365" s="152">
        <f>+IF(OR($Q365=Parametres!$G$2,$Q365=Parametres!$G$3),K365,E365)</f>
        <v>20190.939999999999</v>
      </c>
      <c r="Q365" s="151" t="str">
        <f t="shared" si="26"/>
        <v>7-Dépenses</v>
      </c>
      <c r="R365" s="150" t="str">
        <f t="shared" si="26"/>
        <v>6151</v>
      </c>
      <c r="S365" s="151">
        <f t="shared" si="26"/>
        <v>0</v>
      </c>
      <c r="T365" s="153">
        <f>+VLOOKUP($L365,Data_Validation!$A:$D,1,0)</f>
        <v>6251</v>
      </c>
      <c r="U365" s="153" t="str">
        <f>+VLOOKUP($L365,Data_Validation!$A:$D,3,0)</f>
        <v>Véhicules usagés</v>
      </c>
      <c r="V365" s="153" t="str">
        <f>+VLOOKUP($L365,Data_Validation!$A:$D,4,0)</f>
        <v>Informatique</v>
      </c>
      <c r="W365" s="153" t="str">
        <f>+VLOOKUP($L365,Data_Validation!$A:$E,5,0)</f>
        <v>$</v>
      </c>
      <c r="X365" s="153">
        <f>+VLOOKUP($L365,Data_Validation!$A:$F,6,0)</f>
        <v>0</v>
      </c>
    </row>
    <row r="366" spans="1:24" ht="15" customHeight="1">
      <c r="A366" s="1430" t="s">
        <v>1203</v>
      </c>
      <c r="B366" s="1431">
        <v>6252</v>
      </c>
      <c r="C366" s="1433">
        <v>2368.09</v>
      </c>
      <c r="D366" s="1433">
        <v>131.69</v>
      </c>
      <c r="E366" s="1433">
        <v>2499.7800000000002</v>
      </c>
      <c r="F366" s="1430" t="s">
        <v>398</v>
      </c>
      <c r="G366" s="1430" t="s">
        <v>2579</v>
      </c>
      <c r="H366" s="1233"/>
      <c r="I366" s="1240"/>
      <c r="J366" s="1240"/>
      <c r="K366" s="1240"/>
      <c r="L366" s="150">
        <f t="shared" si="18"/>
        <v>6252</v>
      </c>
      <c r="M366" s="151" t="str">
        <f t="shared" si="19"/>
        <v>PAPETERIE</v>
      </c>
      <c r="N366" s="152">
        <f>+IF(OR($Q366=Parametres!$G$2,$Q366=Parametres!$G$3),I366,C366)</f>
        <v>2368.09</v>
      </c>
      <c r="O366" s="152">
        <f>+IF(OR($Q366=Parametres!$G$2,$Q366=Parametres!$G$3),J366,D366)</f>
        <v>131.69</v>
      </c>
      <c r="P366" s="152">
        <f>+IF(OR($Q366=Parametres!$G$2,$Q366=Parametres!$G$3),K366,E366)</f>
        <v>2499.7800000000002</v>
      </c>
      <c r="Q366" s="151" t="str">
        <f t="shared" si="26"/>
        <v>7-Dépenses</v>
      </c>
      <c r="R366" s="150" t="str">
        <f t="shared" si="26"/>
        <v>6152</v>
      </c>
      <c r="S366" s="151">
        <f t="shared" si="26"/>
        <v>0</v>
      </c>
      <c r="T366" s="153">
        <f>+VLOOKUP($L366,Data_Validation!$A:$D,1,0)</f>
        <v>6252</v>
      </c>
      <c r="U366" s="153" t="str">
        <f>+VLOOKUP($L366,Data_Validation!$A:$D,3,0)</f>
        <v>Véhicules usagés</v>
      </c>
      <c r="V366" s="153" t="str">
        <f>+VLOOKUP($L366,Data_Validation!$A:$D,4,0)</f>
        <v>Papeterie</v>
      </c>
      <c r="W366" s="153" t="str">
        <f>+VLOOKUP($L366,Data_Validation!$A:$E,5,0)</f>
        <v>$</v>
      </c>
      <c r="X366" s="153">
        <f>+VLOOKUP($L366,Data_Validation!$A:$F,6,0)</f>
        <v>0</v>
      </c>
    </row>
    <row r="367" spans="1:24" ht="15" customHeight="1">
      <c r="A367" s="1430" t="s">
        <v>1151</v>
      </c>
      <c r="B367" s="1431">
        <v>6253</v>
      </c>
      <c r="C367" s="1433">
        <v>731.95</v>
      </c>
      <c r="D367" s="1433">
        <v>46.3</v>
      </c>
      <c r="E367" s="1433">
        <v>778.25</v>
      </c>
      <c r="F367" s="1430" t="s">
        <v>398</v>
      </c>
      <c r="G367" s="1430" t="s">
        <v>2583</v>
      </c>
      <c r="H367" s="1233"/>
      <c r="I367" s="1240"/>
      <c r="J367" s="1240"/>
      <c r="K367" s="1240"/>
      <c r="L367" s="150">
        <f t="shared" si="18"/>
        <v>6253</v>
      </c>
      <c r="M367" s="151" t="str">
        <f t="shared" si="19"/>
        <v>TELEPHONE ET TELEX</v>
      </c>
      <c r="N367" s="152">
        <f>+IF(OR($Q367=Parametres!$G$2,$Q367=Parametres!$G$3),I367,C367)</f>
        <v>731.95</v>
      </c>
      <c r="O367" s="152">
        <f>+IF(OR($Q367=Parametres!$G$2,$Q367=Parametres!$G$3),J367,D367)</f>
        <v>46.3</v>
      </c>
      <c r="P367" s="152">
        <f>+IF(OR($Q367=Parametres!$G$2,$Q367=Parametres!$G$3),K367,E367)</f>
        <v>778.25</v>
      </c>
      <c r="Q367" s="151" t="str">
        <f t="shared" si="26"/>
        <v>7-Dépenses</v>
      </c>
      <c r="R367" s="150" t="str">
        <f t="shared" si="26"/>
        <v>6153</v>
      </c>
      <c r="S367" s="151">
        <f t="shared" si="26"/>
        <v>0</v>
      </c>
      <c r="T367" s="153">
        <f>+VLOOKUP($L367,Data_Validation!$A:$D,1,0)</f>
        <v>6253</v>
      </c>
      <c r="U367" s="153" t="str">
        <f>+VLOOKUP($L367,Data_Validation!$A:$D,3,0)</f>
        <v>Véhicules usagés</v>
      </c>
      <c r="V367" s="153" t="str">
        <f>+VLOOKUP($L367,Data_Validation!$A:$D,4,0)</f>
        <v>Téléphone</v>
      </c>
      <c r="W367" s="153" t="str">
        <f>+VLOOKUP($L367,Data_Validation!$A:$E,5,0)</f>
        <v>$</v>
      </c>
      <c r="X367" s="153">
        <f>+VLOOKUP($L367,Data_Validation!$A:$F,6,0)</f>
        <v>0</v>
      </c>
    </row>
    <row r="368" spans="1:24" ht="15" customHeight="1">
      <c r="A368" s="1430" t="s">
        <v>1234</v>
      </c>
      <c r="B368" s="1431">
        <v>6255</v>
      </c>
      <c r="C368" s="1433">
        <v>2766.24</v>
      </c>
      <c r="D368" s="1433">
        <v>282.05</v>
      </c>
      <c r="E368" s="1433">
        <v>3048.29</v>
      </c>
      <c r="F368" s="1430" t="s">
        <v>398</v>
      </c>
      <c r="G368" s="1430" t="s">
        <v>2628</v>
      </c>
      <c r="H368" s="1233"/>
      <c r="I368" s="1240"/>
      <c r="J368" s="1240"/>
      <c r="K368" s="1240"/>
      <c r="L368" s="150">
        <f t="shared" si="18"/>
        <v>6255</v>
      </c>
      <c r="M368" s="151" t="str">
        <f t="shared" si="19"/>
        <v>DEPENSES DIVERS</v>
      </c>
      <c r="N368" s="152">
        <f>+IF(OR($Q368=Parametres!$G$2,$Q368=Parametres!$G$3),I368,C368)</f>
        <v>2766.24</v>
      </c>
      <c r="O368" s="152">
        <f>+IF(OR($Q368=Parametres!$G$2,$Q368=Parametres!$G$3),J368,D368)</f>
        <v>282.05</v>
      </c>
      <c r="P368" s="152">
        <f>+IF(OR($Q368=Parametres!$G$2,$Q368=Parametres!$G$3),K368,E368)</f>
        <v>3048.29</v>
      </c>
      <c r="Q368" s="151" t="str">
        <f t="shared" si="26"/>
        <v>7-Dépenses</v>
      </c>
      <c r="R368" s="150" t="str">
        <f t="shared" si="26"/>
        <v>6155</v>
      </c>
      <c r="S368" s="151">
        <f t="shared" si="26"/>
        <v>0</v>
      </c>
      <c r="T368" s="153">
        <f>+VLOOKUP($L368,Data_Validation!$A:$D,1,0)</f>
        <v>6255</v>
      </c>
      <c r="U368" s="153" t="str">
        <f>+VLOOKUP($L368,Data_Validation!$A:$D,3,0)</f>
        <v>Véhicules usagés</v>
      </c>
      <c r="V368" s="153" t="str">
        <f>+VLOOKUP($L368,Data_Validation!$A:$D,4,0)</f>
        <v>Divers</v>
      </c>
      <c r="W368" s="153" t="str">
        <f>+VLOOKUP($L368,Data_Validation!$A:$E,5,0)</f>
        <v>$</v>
      </c>
      <c r="X368" s="153">
        <f>+VLOOKUP($L368,Data_Validation!$A:$F,6,0)</f>
        <v>0</v>
      </c>
    </row>
    <row r="369" spans="1:24" ht="15.75" customHeight="1">
      <c r="A369" s="1430" t="s">
        <v>1244</v>
      </c>
      <c r="B369" s="1431">
        <v>6256</v>
      </c>
      <c r="C369" s="1433">
        <v>2231.3200000000002</v>
      </c>
      <c r="D369" s="1433">
        <v>215.45</v>
      </c>
      <c r="E369" s="1433">
        <v>2446.77</v>
      </c>
      <c r="F369" s="1430" t="s">
        <v>398</v>
      </c>
      <c r="G369" s="1430" t="s">
        <v>2461</v>
      </c>
      <c r="H369" s="1233"/>
      <c r="I369" s="1240"/>
      <c r="J369" s="1240"/>
      <c r="K369" s="1240"/>
      <c r="L369" s="150">
        <f t="shared" si="18"/>
        <v>6256</v>
      </c>
      <c r="M369" s="151" t="str">
        <f t="shared" si="19"/>
        <v>FRAIS REPRESENTATION - USAGE</v>
      </c>
      <c r="N369" s="152">
        <f>+IF(OR($Q369=Parametres!$G$2,$Q369=Parametres!$G$3),I369,C369)</f>
        <v>2231.3200000000002</v>
      </c>
      <c r="O369" s="152">
        <f>+IF(OR($Q369=Parametres!$G$2,$Q369=Parametres!$G$3),J369,D369)</f>
        <v>215.45</v>
      </c>
      <c r="P369" s="152">
        <f>+IF(OR($Q369=Parametres!$G$2,$Q369=Parametres!$G$3),K369,E369)</f>
        <v>2446.77</v>
      </c>
      <c r="Q369" s="151" t="str">
        <f t="shared" si="26"/>
        <v>7-Dépenses</v>
      </c>
      <c r="R369" s="150" t="str">
        <f t="shared" si="26"/>
        <v>6156</v>
      </c>
      <c r="S369" s="151">
        <f t="shared" si="26"/>
        <v>0</v>
      </c>
      <c r="T369" s="153">
        <f>+VLOOKUP($L369,Data_Validation!$A:$D,1,0)</f>
        <v>6256</v>
      </c>
      <c r="U369" s="153" t="str">
        <f>+VLOOKUP($L369,Data_Validation!$A:$D,3,0)</f>
        <v>Véhicules usagés</v>
      </c>
      <c r="V369" s="153" t="str">
        <f>+VLOOKUP($L369,Data_Validation!$A:$D,4,0)</f>
        <v>Frais de déplacement</v>
      </c>
      <c r="W369" s="153" t="str">
        <f>+VLOOKUP($L369,Data_Validation!$A:$E,5,0)</f>
        <v>$</v>
      </c>
      <c r="X369" s="153">
        <f>+VLOOKUP($L369,Data_Validation!$A:$F,6,0)</f>
        <v>0</v>
      </c>
    </row>
    <row r="370" spans="1:24" ht="15" customHeight="1">
      <c r="A370" s="1430" t="s">
        <v>1305</v>
      </c>
      <c r="B370" s="1431">
        <v>6259</v>
      </c>
      <c r="C370" s="1433">
        <v>10402.530000000001</v>
      </c>
      <c r="D370" s="1433">
        <v>2055.63</v>
      </c>
      <c r="E370" s="1433">
        <v>12458.16</v>
      </c>
      <c r="F370" s="1430" t="s">
        <v>398</v>
      </c>
      <c r="G370" s="1430" t="s">
        <v>2653</v>
      </c>
      <c r="H370" s="1233"/>
      <c r="I370" s="1240"/>
      <c r="J370" s="1240"/>
      <c r="K370" s="1240"/>
      <c r="L370" s="150">
        <f t="shared" si="18"/>
        <v>6259</v>
      </c>
      <c r="M370" s="151" t="str">
        <f t="shared" si="19"/>
        <v>SERVICE EXTERIEUR</v>
      </c>
      <c r="N370" s="152">
        <f>+IF(OR($Q370=Parametres!$G$2,$Q370=Parametres!$G$3),I370,C370)</f>
        <v>10402.530000000001</v>
      </c>
      <c r="O370" s="152">
        <f>+IF(OR($Q370=Parametres!$G$2,$Q370=Parametres!$G$3),J370,D370)</f>
        <v>2055.63</v>
      </c>
      <c r="P370" s="152">
        <f>+IF(OR($Q370=Parametres!$G$2,$Q370=Parametres!$G$3),K370,E370)</f>
        <v>12458.16</v>
      </c>
      <c r="Q370" s="151" t="str">
        <f t="shared" ref="Q370:S385" si="27">+F370</f>
        <v>7-Dépenses</v>
      </c>
      <c r="R370" s="150" t="str">
        <f t="shared" si="27"/>
        <v>6159</v>
      </c>
      <c r="S370" s="151">
        <f t="shared" si="27"/>
        <v>0</v>
      </c>
      <c r="T370" s="153">
        <f>+VLOOKUP($L370,Data_Validation!$A:$D,1,0)</f>
        <v>6259</v>
      </c>
      <c r="U370" s="153" t="str">
        <f>+VLOOKUP($L370,Data_Validation!$A:$D,3,0)</f>
        <v>Véhicules usagés</v>
      </c>
      <c r="V370" s="153" t="str">
        <f>+VLOOKUP($L370,Data_Validation!$A:$D,4,0)</f>
        <v>Services extérieurs</v>
      </c>
      <c r="W370" s="153" t="str">
        <f>+VLOOKUP($L370,Data_Validation!$A:$E,5,0)</f>
        <v>$</v>
      </c>
      <c r="X370" s="153">
        <f>+VLOOKUP($L370,Data_Validation!$A:$F,6,0)</f>
        <v>0</v>
      </c>
    </row>
    <row r="371" spans="1:24" ht="15" customHeight="1">
      <c r="A371" s="1430" t="s">
        <v>1330</v>
      </c>
      <c r="B371" s="1431">
        <v>6261</v>
      </c>
      <c r="C371" s="1433">
        <v>5272.74</v>
      </c>
      <c r="D371" s="1433">
        <v>746.1</v>
      </c>
      <c r="E371" s="1433">
        <v>6018.84</v>
      </c>
      <c r="F371" s="1430" t="s">
        <v>398</v>
      </c>
      <c r="G371" s="1430" t="s">
        <v>2644</v>
      </c>
      <c r="H371" s="1233"/>
      <c r="I371" s="1240"/>
      <c r="J371" s="1240"/>
      <c r="K371" s="1240"/>
      <c r="L371" s="150">
        <f t="shared" si="18"/>
        <v>6261</v>
      </c>
      <c r="M371" s="151" t="str">
        <f t="shared" si="19"/>
        <v>DEPRECIATION EQUIP. &amp; FIXTURES</v>
      </c>
      <c r="N371" s="152">
        <f>+IF(OR($Q371=Parametres!$G$2,$Q371=Parametres!$G$3),I371,C371)</f>
        <v>5272.74</v>
      </c>
      <c r="O371" s="152">
        <f>+IF(OR($Q371=Parametres!$G$2,$Q371=Parametres!$G$3),J371,D371)</f>
        <v>746.1</v>
      </c>
      <c r="P371" s="152">
        <f>+IF(OR($Q371=Parametres!$G$2,$Q371=Parametres!$G$3),K371,E371)</f>
        <v>6018.84</v>
      </c>
      <c r="Q371" s="151" t="str">
        <f t="shared" si="27"/>
        <v>7-Dépenses</v>
      </c>
      <c r="R371" s="150" t="str">
        <f t="shared" si="27"/>
        <v>6161</v>
      </c>
      <c r="S371" s="151">
        <f t="shared" si="27"/>
        <v>0</v>
      </c>
      <c r="T371" s="153">
        <f>+VLOOKUP($L371,Data_Validation!$A:$D,1,0)</f>
        <v>6261</v>
      </c>
      <c r="U371" s="153" t="str">
        <f>+VLOOKUP($L371,Data_Validation!$A:$D,3,0)</f>
        <v>Véhicules usagés</v>
      </c>
      <c r="V371" s="153" t="str">
        <f>+VLOOKUP($L371,Data_Validation!$A:$D,4,0)</f>
        <v>Amortissement</v>
      </c>
      <c r="W371" s="153" t="str">
        <f>+VLOOKUP($L371,Data_Validation!$A:$E,5,0)</f>
        <v>$</v>
      </c>
      <c r="X371" s="153">
        <f>+VLOOKUP($L371,Data_Validation!$A:$F,6,0)</f>
        <v>0</v>
      </c>
    </row>
    <row r="372" spans="1:24" ht="15" customHeight="1">
      <c r="A372" s="1430" t="s">
        <v>1377</v>
      </c>
      <c r="B372" s="1431">
        <v>6281</v>
      </c>
      <c r="C372" s="1433">
        <v>3137.21</v>
      </c>
      <c r="D372" s="1433">
        <v>415.79</v>
      </c>
      <c r="E372" s="1433">
        <v>3553</v>
      </c>
      <c r="F372" s="1430" t="s">
        <v>398</v>
      </c>
      <c r="G372" s="1430" t="s">
        <v>2595</v>
      </c>
      <c r="H372" s="1233"/>
      <c r="I372" s="1240"/>
      <c r="J372" s="1240"/>
      <c r="K372" s="1240"/>
      <c r="L372" s="150">
        <f t="shared" si="18"/>
        <v>6281</v>
      </c>
      <c r="M372" s="151" t="str">
        <f t="shared" si="19"/>
        <v>CHAUFFAGE,ELECTRICITE,EAU-USAGE</v>
      </c>
      <c r="N372" s="152">
        <f>+IF(OR($Q372=Parametres!$G$2,$Q372=Parametres!$G$3),I372,C372)</f>
        <v>3137.21</v>
      </c>
      <c r="O372" s="152">
        <f>+IF(OR($Q372=Parametres!$G$2,$Q372=Parametres!$G$3),J372,D372)</f>
        <v>415.79</v>
      </c>
      <c r="P372" s="152">
        <f>+IF(OR($Q372=Parametres!$G$2,$Q372=Parametres!$G$3),K372,E372)</f>
        <v>3553</v>
      </c>
      <c r="Q372" s="151" t="str">
        <f t="shared" si="27"/>
        <v>7-Dépenses</v>
      </c>
      <c r="R372" s="150" t="str">
        <f t="shared" si="27"/>
        <v>6181</v>
      </c>
      <c r="S372" s="151">
        <f t="shared" si="27"/>
        <v>0</v>
      </c>
      <c r="T372" s="153">
        <f>+VLOOKUP($L372,Data_Validation!$A:$D,1,0)</f>
        <v>6281</v>
      </c>
      <c r="U372" s="153" t="str">
        <f>+VLOOKUP($L372,Data_Validation!$A:$D,3,0)</f>
        <v>Véhicules usagés</v>
      </c>
      <c r="V372" s="153" t="str">
        <f>+VLOOKUP($L372,Data_Validation!$A:$D,4,0)</f>
        <v>Chauffage, éclairage</v>
      </c>
      <c r="W372" s="153" t="str">
        <f>+VLOOKUP($L372,Data_Validation!$A:$E,5,0)</f>
        <v>$</v>
      </c>
      <c r="X372" s="153">
        <f>+VLOOKUP($L372,Data_Validation!$A:$F,6,0)</f>
        <v>0</v>
      </c>
    </row>
    <row r="373" spans="1:24" ht="15" customHeight="1">
      <c r="A373" s="1430" t="s">
        <v>1459</v>
      </c>
      <c r="B373" s="1431">
        <v>6282</v>
      </c>
      <c r="C373" s="1433">
        <v>31200</v>
      </c>
      <c r="D373" s="1433">
        <v>3120</v>
      </c>
      <c r="E373" s="1433">
        <v>34320</v>
      </c>
      <c r="F373" s="1430" t="s">
        <v>398</v>
      </c>
      <c r="G373" s="1430" t="s">
        <v>2700</v>
      </c>
      <c r="H373" s="1233"/>
      <c r="I373" s="1240"/>
      <c r="J373" s="1240"/>
      <c r="K373" s="1240"/>
      <c r="L373" s="150">
        <f t="shared" si="18"/>
        <v>6282</v>
      </c>
      <c r="M373" s="151" t="str">
        <f t="shared" si="19"/>
        <v>LOYER - USAGE</v>
      </c>
      <c r="N373" s="152">
        <f>+IF(OR($Q373=Parametres!$G$2,$Q373=Parametres!$G$3),I373,C373)</f>
        <v>31200</v>
      </c>
      <c r="O373" s="152">
        <f>+IF(OR($Q373=Parametres!$G$2,$Q373=Parametres!$G$3),J373,D373)</f>
        <v>3120</v>
      </c>
      <c r="P373" s="152">
        <f>+IF(OR($Q373=Parametres!$G$2,$Q373=Parametres!$G$3),K373,E373)</f>
        <v>34320</v>
      </c>
      <c r="Q373" s="151" t="str">
        <f t="shared" si="27"/>
        <v>7-Dépenses</v>
      </c>
      <c r="R373" s="150" t="str">
        <f t="shared" si="27"/>
        <v>6182</v>
      </c>
      <c r="S373" s="151">
        <f t="shared" si="27"/>
        <v>0</v>
      </c>
      <c r="T373" s="153">
        <f>+VLOOKUP($L373,Data_Validation!$A:$D,1,0)</f>
        <v>6282</v>
      </c>
      <c r="U373" s="153" t="str">
        <f>+VLOOKUP($L373,Data_Validation!$A:$D,3,0)</f>
        <v>Véhicules usagés</v>
      </c>
      <c r="V373" s="153" t="str">
        <f>+VLOOKUP($L373,Data_Validation!$A:$D,4,0)</f>
        <v>Loyer</v>
      </c>
      <c r="W373" s="153" t="str">
        <f>+VLOOKUP($L373,Data_Validation!$A:$E,5,0)</f>
        <v>$</v>
      </c>
      <c r="X373" s="153">
        <f>+VLOOKUP($L373,Data_Validation!$A:$F,6,0)</f>
        <v>0</v>
      </c>
    </row>
    <row r="374" spans="1:24" ht="15.75" customHeight="1">
      <c r="A374" s="1430" t="s">
        <v>1287</v>
      </c>
      <c r="B374" s="1431">
        <v>6286</v>
      </c>
      <c r="C374" s="1433">
        <v>4449.7</v>
      </c>
      <c r="D374" s="1433">
        <v>444.97</v>
      </c>
      <c r="E374" s="1433">
        <v>4894.67</v>
      </c>
      <c r="F374" s="1430" t="s">
        <v>398</v>
      </c>
      <c r="G374" s="1430" t="s">
        <v>2585</v>
      </c>
      <c r="H374" s="1233"/>
      <c r="I374" s="1240"/>
      <c r="J374" s="1240"/>
      <c r="K374" s="1240"/>
      <c r="L374" s="150">
        <f t="shared" si="18"/>
        <v>6286</v>
      </c>
      <c r="M374" s="151" t="str">
        <f t="shared" si="19"/>
        <v>ASSURANCE BATISSE &amp; AMEL.-USAGE</v>
      </c>
      <c r="N374" s="152">
        <f>+IF(OR($Q374=Parametres!$G$2,$Q374=Parametres!$G$3),I374,C374)</f>
        <v>4449.7</v>
      </c>
      <c r="O374" s="152">
        <f>+IF(OR($Q374=Parametres!$G$2,$Q374=Parametres!$G$3),J374,D374)</f>
        <v>444.97</v>
      </c>
      <c r="P374" s="152">
        <f>+IF(OR($Q374=Parametres!$G$2,$Q374=Parametres!$G$3),K374,E374)</f>
        <v>4894.67</v>
      </c>
      <c r="Q374" s="151" t="str">
        <f t="shared" si="27"/>
        <v>7-Dépenses</v>
      </c>
      <c r="R374" s="150" t="str">
        <f t="shared" si="27"/>
        <v>6186</v>
      </c>
      <c r="S374" s="151">
        <f t="shared" si="27"/>
        <v>0</v>
      </c>
      <c r="T374" s="153">
        <f>+VLOOKUP($L374,Data_Validation!$A:$D,1,0)</f>
        <v>6286</v>
      </c>
      <c r="U374" s="153" t="str">
        <f>+VLOOKUP($L374,Data_Validation!$A:$D,3,0)</f>
        <v>Véhicules usagés</v>
      </c>
      <c r="V374" s="153" t="str">
        <f>+VLOOKUP($L374,Data_Validation!$A:$D,4,0)</f>
        <v>Assurances</v>
      </c>
      <c r="W374" s="153" t="str">
        <f>+VLOOKUP($L374,Data_Validation!$A:$E,5,0)</f>
        <v>$</v>
      </c>
      <c r="X374" s="153">
        <f>+VLOOKUP($L374,Data_Validation!$A:$F,6,0)</f>
        <v>0</v>
      </c>
    </row>
    <row r="375" spans="1:24" ht="15" customHeight="1">
      <c r="A375" s="1430" t="s">
        <v>1200</v>
      </c>
      <c r="B375" s="1431">
        <v>6287</v>
      </c>
      <c r="C375" s="1433">
        <v>5772</v>
      </c>
      <c r="D375" s="1433">
        <v>577.20000000000005</v>
      </c>
      <c r="E375" s="1433">
        <v>6349.2</v>
      </c>
      <c r="F375" s="1430" t="s">
        <v>398</v>
      </c>
      <c r="G375" s="1430" t="s">
        <v>2605</v>
      </c>
      <c r="H375" s="1233"/>
      <c r="I375" s="1240"/>
      <c r="J375" s="1240"/>
      <c r="K375" s="1240"/>
      <c r="L375" s="150">
        <f t="shared" si="18"/>
        <v>6287</v>
      </c>
      <c r="M375" s="151" t="str">
        <f t="shared" si="19"/>
        <v>TAXES FONCIERES - USAGE</v>
      </c>
      <c r="N375" s="152">
        <f>+IF(OR($Q375=Parametres!$G$2,$Q375=Parametres!$G$3),I375,C375)</f>
        <v>5772</v>
      </c>
      <c r="O375" s="152">
        <f>+IF(OR($Q375=Parametres!$G$2,$Q375=Parametres!$G$3),J375,D375)</f>
        <v>577.20000000000005</v>
      </c>
      <c r="P375" s="152">
        <f>+IF(OR($Q375=Parametres!$G$2,$Q375=Parametres!$G$3),K375,E375)</f>
        <v>6349.2</v>
      </c>
      <c r="Q375" s="151" t="str">
        <f t="shared" si="27"/>
        <v>7-Dépenses</v>
      </c>
      <c r="R375" s="150" t="str">
        <f t="shared" si="27"/>
        <v>6187</v>
      </c>
      <c r="S375" s="151">
        <f t="shared" si="27"/>
        <v>0</v>
      </c>
      <c r="T375" s="153">
        <f>+VLOOKUP($L375,Data_Validation!$A:$D,1,0)</f>
        <v>6287</v>
      </c>
      <c r="U375" s="153" t="str">
        <f>+VLOOKUP($L375,Data_Validation!$A:$D,3,0)</f>
        <v>Véhicules usagés</v>
      </c>
      <c r="V375" s="153" t="str">
        <f>+VLOOKUP($L375,Data_Validation!$A:$D,4,0)</f>
        <v>Taxes foncières</v>
      </c>
      <c r="W375" s="153" t="str">
        <f>+VLOOKUP($L375,Data_Validation!$A:$E,5,0)</f>
        <v>$</v>
      </c>
      <c r="X375" s="153">
        <f>+VLOOKUP($L375,Data_Validation!$A:$F,6,0)</f>
        <v>0</v>
      </c>
    </row>
    <row r="376" spans="1:24" ht="15" customHeight="1">
      <c r="A376" s="1430" t="s">
        <v>1390</v>
      </c>
      <c r="B376" s="1431">
        <v>6293</v>
      </c>
      <c r="C376" s="1433">
        <v>3840</v>
      </c>
      <c r="D376" s="1433">
        <v>384</v>
      </c>
      <c r="E376" s="1433">
        <v>4224</v>
      </c>
      <c r="F376" s="1430" t="s">
        <v>398</v>
      </c>
      <c r="G376" s="1430" t="s">
        <v>2588</v>
      </c>
      <c r="H376" s="1233"/>
      <c r="I376" s="1240"/>
      <c r="J376" s="1240"/>
      <c r="K376" s="1240"/>
      <c r="L376" s="150">
        <f t="shared" si="18"/>
        <v>6293</v>
      </c>
      <c r="M376" s="151" t="str">
        <f t="shared" si="19"/>
        <v>AUTRE TAXES - USAGES</v>
      </c>
      <c r="N376" s="152">
        <f>+IF(OR($Q376=Parametres!$G$2,$Q376=Parametres!$G$3),I376,C376)</f>
        <v>3840</v>
      </c>
      <c r="O376" s="152">
        <f>+IF(OR($Q376=Parametres!$G$2,$Q376=Parametres!$G$3),J376,D376)</f>
        <v>384</v>
      </c>
      <c r="P376" s="152">
        <f>+IF(OR($Q376=Parametres!$G$2,$Q376=Parametres!$G$3),K376,E376)</f>
        <v>4224</v>
      </c>
      <c r="Q376" s="151" t="str">
        <f t="shared" si="27"/>
        <v>7-Dépenses</v>
      </c>
      <c r="R376" s="150" t="str">
        <f t="shared" si="27"/>
        <v>6193</v>
      </c>
      <c r="S376" s="151">
        <f t="shared" si="27"/>
        <v>0</v>
      </c>
      <c r="T376" s="153">
        <f>+VLOOKUP($L376,Data_Validation!$A:$D,1,0)</f>
        <v>6293</v>
      </c>
      <c r="U376" s="153" t="str">
        <f>+VLOOKUP($L376,Data_Validation!$A:$D,3,0)</f>
        <v>Véhicules usagés</v>
      </c>
      <c r="V376" s="153" t="str">
        <f>+VLOOKUP($L376,Data_Validation!$A:$D,4,0)</f>
        <v>Taxes d`affaires</v>
      </c>
      <c r="W376" s="153" t="str">
        <f>+VLOOKUP($L376,Data_Validation!$A:$E,5,0)</f>
        <v>$</v>
      </c>
      <c r="X376" s="153">
        <f>+VLOOKUP($L376,Data_Validation!$A:$F,6,0)</f>
        <v>0</v>
      </c>
    </row>
    <row r="377" spans="1:24" ht="15" customHeight="1">
      <c r="A377" s="1430" t="s">
        <v>1315</v>
      </c>
      <c r="B377" s="1431">
        <v>6294</v>
      </c>
      <c r="C377" s="1433">
        <v>7723</v>
      </c>
      <c r="D377" s="1433">
        <v>746.06</v>
      </c>
      <c r="E377" s="1433">
        <v>8469.06</v>
      </c>
      <c r="F377" s="1430" t="s">
        <v>398</v>
      </c>
      <c r="G377" s="1430" t="s">
        <v>2626</v>
      </c>
      <c r="H377" s="1233"/>
      <c r="I377" s="1240"/>
      <c r="J377" s="1240"/>
      <c r="K377" s="1240"/>
      <c r="L377" s="150">
        <f t="shared" si="18"/>
        <v>6294</v>
      </c>
      <c r="M377" s="151" t="str">
        <f t="shared" si="19"/>
        <v>FRAIS PROFESSIONNEL-USAGE</v>
      </c>
      <c r="N377" s="152">
        <f>+IF(OR($Q377=Parametres!$G$2,$Q377=Parametres!$G$3),I377,C377)</f>
        <v>7723</v>
      </c>
      <c r="O377" s="152">
        <f>+IF(OR($Q377=Parametres!$G$2,$Q377=Parametres!$G$3),J377,D377)</f>
        <v>746.06</v>
      </c>
      <c r="P377" s="152">
        <f>+IF(OR($Q377=Parametres!$G$2,$Q377=Parametres!$G$3),K377,E377)</f>
        <v>8469.06</v>
      </c>
      <c r="Q377" s="151" t="str">
        <f t="shared" si="27"/>
        <v>7-Dépenses</v>
      </c>
      <c r="R377" s="150" t="str">
        <f t="shared" si="27"/>
        <v>6194</v>
      </c>
      <c r="S377" s="151">
        <f t="shared" si="27"/>
        <v>0</v>
      </c>
      <c r="T377" s="153">
        <f>+VLOOKUP($L377,Data_Validation!$A:$D,1,0)</f>
        <v>6294</v>
      </c>
      <c r="U377" s="153" t="str">
        <f>+VLOOKUP($L377,Data_Validation!$A:$D,3,0)</f>
        <v>Véhicules usagés</v>
      </c>
      <c r="V377" s="153" t="str">
        <f>+VLOOKUP($L377,Data_Validation!$A:$D,4,0)</f>
        <v>Honoraires</v>
      </c>
      <c r="W377" s="153" t="str">
        <f>+VLOOKUP($L377,Data_Validation!$A:$E,5,0)</f>
        <v>$</v>
      </c>
      <c r="X377" s="153">
        <f>+VLOOKUP($L377,Data_Validation!$A:$F,6,0)</f>
        <v>0</v>
      </c>
    </row>
    <row r="378" spans="1:24" ht="15" customHeight="1">
      <c r="A378" s="1430" t="s">
        <v>1896</v>
      </c>
      <c r="B378" s="1431">
        <v>6295</v>
      </c>
      <c r="C378" s="1433">
        <v>0</v>
      </c>
      <c r="D378" s="1433">
        <v>16.8</v>
      </c>
      <c r="E378" s="1433">
        <v>16.8</v>
      </c>
      <c r="F378" s="1430" t="s">
        <v>398</v>
      </c>
      <c r="G378" s="1430" t="s">
        <v>3613</v>
      </c>
      <c r="H378" s="1233"/>
      <c r="I378" s="1240"/>
      <c r="J378" s="1240"/>
      <c r="K378" s="1240"/>
      <c r="L378" s="150">
        <f t="shared" si="18"/>
        <v>6295</v>
      </c>
      <c r="M378" s="151" t="str">
        <f t="shared" si="19"/>
        <v>CONTRIBUTIONS - USAGE</v>
      </c>
      <c r="N378" s="152">
        <f>+IF(OR($Q378=Parametres!$G$2,$Q378=Parametres!$G$3),I378,C378)</f>
        <v>0</v>
      </c>
      <c r="O378" s="152">
        <f>+IF(OR($Q378=Parametres!$G$2,$Q378=Parametres!$G$3),J378,D378)</f>
        <v>16.8</v>
      </c>
      <c r="P378" s="152">
        <f>+IF(OR($Q378=Parametres!$G$2,$Q378=Parametres!$G$3),K378,E378)</f>
        <v>16.8</v>
      </c>
      <c r="Q378" s="151" t="str">
        <f t="shared" si="27"/>
        <v>7-Dépenses</v>
      </c>
      <c r="R378" s="150" t="str">
        <f t="shared" si="27"/>
        <v>6195</v>
      </c>
      <c r="S378" s="151">
        <f t="shared" si="27"/>
        <v>0</v>
      </c>
      <c r="T378" s="153">
        <f>+VLOOKUP($L378,Data_Validation!$A:$D,1,0)</f>
        <v>6295</v>
      </c>
      <c r="U378" s="153" t="str">
        <f>+VLOOKUP($L378,Data_Validation!$A:$D,3,0)</f>
        <v>Véhicules usagés</v>
      </c>
      <c r="V378" s="153" t="str">
        <f>+VLOOKUP($L378,Data_Validation!$A:$D,4,0)</f>
        <v>Dons</v>
      </c>
      <c r="W378" s="153" t="str">
        <f>+VLOOKUP($L378,Data_Validation!$A:$E,5,0)</f>
        <v>$</v>
      </c>
      <c r="X378" s="153">
        <f>+VLOOKUP($L378,Data_Validation!$A:$F,6,0)</f>
        <v>0</v>
      </c>
    </row>
    <row r="379" spans="1:24" ht="15.75" customHeight="1">
      <c r="A379" s="1430" t="s">
        <v>1400</v>
      </c>
      <c r="B379" s="1431">
        <v>6403</v>
      </c>
      <c r="C379" s="1433">
        <v>26231.47</v>
      </c>
      <c r="D379" s="1433">
        <v>2313.8200000000002</v>
      </c>
      <c r="E379" s="1433">
        <v>28545.29</v>
      </c>
      <c r="F379" s="1430" t="s">
        <v>398</v>
      </c>
      <c r="G379" s="1430" t="s">
        <v>2458</v>
      </c>
      <c r="H379" s="1233"/>
      <c r="I379" s="1240"/>
      <c r="J379" s="1240"/>
      <c r="K379" s="1240"/>
      <c r="L379" s="150">
        <f t="shared" si="18"/>
        <v>6403</v>
      </c>
      <c r="M379" s="151" t="str">
        <f t="shared" si="19"/>
        <v>RELAT. A LA CLIENTELE &amp; AJUST</v>
      </c>
      <c r="N379" s="152">
        <f>+IF(OR($Q379=Parametres!$G$2,$Q379=Parametres!$G$3),I379,C379)</f>
        <v>26231.47</v>
      </c>
      <c r="O379" s="152">
        <f>+IF(OR($Q379=Parametres!$G$2,$Q379=Parametres!$G$3),J379,D379)</f>
        <v>2313.8200000000002</v>
      </c>
      <c r="P379" s="152">
        <f>+IF(OR($Q379=Parametres!$G$2,$Q379=Parametres!$G$3),K379,E379)</f>
        <v>28545.29</v>
      </c>
      <c r="Q379" s="151" t="str">
        <f t="shared" si="27"/>
        <v>7-Dépenses</v>
      </c>
      <c r="R379" s="150" t="str">
        <f t="shared" si="27"/>
        <v>6112</v>
      </c>
      <c r="S379" s="151">
        <f t="shared" si="27"/>
        <v>0</v>
      </c>
      <c r="T379" s="153">
        <f>+VLOOKUP($L379,Data_Validation!$A:$D,1,0)</f>
        <v>6403</v>
      </c>
      <c r="U379" s="153" t="str">
        <f>+VLOOKUP($L379,Data_Validation!$A:$D,3,0)</f>
        <v>Service</v>
      </c>
      <c r="V379" s="153" t="str">
        <f>+VLOOKUP($L379,Data_Validation!$A:$D,4,0)</f>
        <v>Service gratuit 2</v>
      </c>
      <c r="W379" s="153" t="str">
        <f>+VLOOKUP($L379,Data_Validation!$A:$E,5,0)</f>
        <v>$</v>
      </c>
      <c r="X379" s="153">
        <f>+VLOOKUP($L379,Data_Validation!$A:$F,6,0)</f>
        <v>0</v>
      </c>
    </row>
    <row r="380" spans="1:24" ht="15" customHeight="1">
      <c r="A380" s="1430" t="s">
        <v>1447</v>
      </c>
      <c r="B380" s="1431">
        <v>6412</v>
      </c>
      <c r="C380" s="1433">
        <v>1767.71</v>
      </c>
      <c r="D380" s="1433">
        <v>-6.92</v>
      </c>
      <c r="E380" s="1433">
        <v>1760.79</v>
      </c>
      <c r="F380" s="1430" t="s">
        <v>398</v>
      </c>
      <c r="G380" s="1430" t="s">
        <v>2458</v>
      </c>
      <c r="H380" s="1233"/>
      <c r="I380" s="1240"/>
      <c r="J380" s="1240"/>
      <c r="K380" s="1240"/>
      <c r="L380" s="150">
        <f t="shared" si="18"/>
        <v>6412</v>
      </c>
      <c r="M380" s="151" t="str">
        <f t="shared" si="19"/>
        <v>AUTORISATION &amp; GAR./VEH. USA</v>
      </c>
      <c r="N380" s="152">
        <f>+IF(OR($Q380=Parametres!$G$2,$Q380=Parametres!$G$3),I380,C380)</f>
        <v>1767.71</v>
      </c>
      <c r="O380" s="152">
        <f>+IF(OR($Q380=Parametres!$G$2,$Q380=Parametres!$G$3),J380,D380)</f>
        <v>-6.92</v>
      </c>
      <c r="P380" s="152">
        <f>+IF(OR($Q380=Parametres!$G$2,$Q380=Parametres!$G$3),K380,E380)</f>
        <v>1760.79</v>
      </c>
      <c r="Q380" s="151" t="str">
        <f t="shared" si="27"/>
        <v>7-Dépenses</v>
      </c>
      <c r="R380" s="150" t="str">
        <f t="shared" si="27"/>
        <v>6112</v>
      </c>
      <c r="S380" s="151">
        <f t="shared" si="27"/>
        <v>0</v>
      </c>
      <c r="T380" s="153">
        <f>+VLOOKUP($L380,Data_Validation!$A:$D,1,0)</f>
        <v>6412</v>
      </c>
      <c r="U380" s="153" t="str">
        <f>+VLOOKUP($L380,Data_Validation!$A:$D,3,0)</f>
        <v>Service</v>
      </c>
      <c r="V380" s="153" t="str">
        <f>+VLOOKUP($L380,Data_Validation!$A:$D,4,0)</f>
        <v>Service gratuit 2</v>
      </c>
      <c r="W380" s="153" t="str">
        <f>+VLOOKUP($L380,Data_Validation!$A:$E,5,0)</f>
        <v>$</v>
      </c>
      <c r="X380" s="153">
        <f>+VLOOKUP($L380,Data_Validation!$A:$F,6,0)</f>
        <v>0</v>
      </c>
    </row>
    <row r="381" spans="1:24" ht="15" customHeight="1">
      <c r="A381" s="1430" t="s">
        <v>1371</v>
      </c>
      <c r="B381" s="1431">
        <v>6414</v>
      </c>
      <c r="C381" s="1433">
        <v>67154.05</v>
      </c>
      <c r="D381" s="1433">
        <v>12547.11</v>
      </c>
      <c r="E381" s="1433">
        <v>79701.16</v>
      </c>
      <c r="F381" s="1430" t="s">
        <v>398</v>
      </c>
      <c r="G381" s="1430" t="s">
        <v>2106</v>
      </c>
      <c r="H381" s="1233"/>
      <c r="I381" s="1240"/>
      <c r="J381" s="1240"/>
      <c r="K381" s="1240"/>
      <c r="L381" s="150">
        <f t="shared" si="18"/>
        <v>6414</v>
      </c>
      <c r="M381" s="151" t="str">
        <f t="shared" si="19"/>
        <v>PUBLICITE</v>
      </c>
      <c r="N381" s="152">
        <f>+IF(OR($Q381=Parametres!$G$2,$Q381=Parametres!$G$3),I381,C381)</f>
        <v>67154.05</v>
      </c>
      <c r="O381" s="152">
        <f>+IF(OR($Q381=Parametres!$G$2,$Q381=Parametres!$G$3),J381,D381)</f>
        <v>12547.11</v>
      </c>
      <c r="P381" s="152">
        <f>+IF(OR($Q381=Parametres!$G$2,$Q381=Parametres!$G$3),K381,E381)</f>
        <v>79701.16</v>
      </c>
      <c r="Q381" s="151" t="str">
        <f t="shared" si="27"/>
        <v>7-Dépenses</v>
      </c>
      <c r="R381" s="150" t="str">
        <f t="shared" si="27"/>
        <v>6114</v>
      </c>
      <c r="S381" s="151">
        <f t="shared" si="27"/>
        <v>0</v>
      </c>
      <c r="T381" s="153">
        <f>+VLOOKUP($L381,Data_Validation!$A:$D,1,0)</f>
        <v>6414</v>
      </c>
      <c r="U381" s="153" t="str">
        <f>+VLOOKUP($L381,Data_Validation!$A:$D,3,0)</f>
        <v>Service</v>
      </c>
      <c r="V381" s="153" t="str">
        <f>+VLOOKUP($L381,Data_Validation!$A:$D,4,0)</f>
        <v>Publicité 2</v>
      </c>
      <c r="W381" s="153" t="str">
        <f>+VLOOKUP($L381,Data_Validation!$A:$E,5,0)</f>
        <v>$</v>
      </c>
      <c r="X381" s="153">
        <f>+VLOOKUP($L381,Data_Validation!$A:$F,6,0)</f>
        <v>0</v>
      </c>
    </row>
    <row r="382" spans="1:24" ht="15" customHeight="1">
      <c r="A382" s="1430" t="s">
        <v>1256</v>
      </c>
      <c r="B382" s="1431">
        <v>6421</v>
      </c>
      <c r="C382" s="1433">
        <v>10941.13</v>
      </c>
      <c r="D382" s="1433">
        <v>2683.78</v>
      </c>
      <c r="E382" s="1433">
        <v>13624.91</v>
      </c>
      <c r="F382" s="1430" t="s">
        <v>398</v>
      </c>
      <c r="G382" s="1430" t="s">
        <v>2639</v>
      </c>
      <c r="H382" s="1233"/>
      <c r="I382" s="1240"/>
      <c r="J382" s="1240"/>
      <c r="K382" s="1240"/>
      <c r="L382" s="150">
        <f t="shared" si="18"/>
        <v>6421</v>
      </c>
      <c r="M382" s="151" t="str">
        <f t="shared" si="19"/>
        <v>SALAIRES - PROPRIETAIRES</v>
      </c>
      <c r="N382" s="152">
        <f>+IF(OR($Q382=Parametres!$G$2,$Q382=Parametres!$G$3),I382,C382)</f>
        <v>10941.13</v>
      </c>
      <c r="O382" s="152">
        <f>+IF(OR($Q382=Parametres!$G$2,$Q382=Parametres!$G$3),J382,D382)</f>
        <v>2683.78</v>
      </c>
      <c r="P382" s="152">
        <f>+IF(OR($Q382=Parametres!$G$2,$Q382=Parametres!$G$3),K382,E382)</f>
        <v>13624.91</v>
      </c>
      <c r="Q382" s="151" t="str">
        <f t="shared" si="27"/>
        <v>7-Dépenses</v>
      </c>
      <c r="R382" s="150" t="str">
        <f t="shared" si="27"/>
        <v>6121</v>
      </c>
      <c r="S382" s="151">
        <f t="shared" si="27"/>
        <v>0</v>
      </c>
      <c r="T382" s="153">
        <f>+VLOOKUP($L382,Data_Validation!$A:$D,1,0)</f>
        <v>6421</v>
      </c>
      <c r="U382" s="153" t="str">
        <f>+VLOOKUP($L382,Data_Validation!$A:$D,3,0)</f>
        <v>Service</v>
      </c>
      <c r="V382" s="153" t="str">
        <f>+VLOOKUP($L382,Data_Validation!$A:$D,4,0)</f>
        <v>Salaires propriétaire</v>
      </c>
      <c r="W382" s="153" t="str">
        <f>+VLOOKUP($L382,Data_Validation!$A:$E,5,0)</f>
        <v>$</v>
      </c>
      <c r="X382" s="153">
        <f>+VLOOKUP($L382,Data_Validation!$A:$F,6,0)</f>
        <v>0</v>
      </c>
    </row>
    <row r="383" spans="1:24" ht="15.75" customHeight="1">
      <c r="A383" s="1430" t="s">
        <v>2615</v>
      </c>
      <c r="B383" s="1431">
        <v>6422</v>
      </c>
      <c r="C383" s="1433">
        <v>117883.76</v>
      </c>
      <c r="D383" s="1433">
        <v>12022.88</v>
      </c>
      <c r="E383" s="1433">
        <v>129906.64</v>
      </c>
      <c r="F383" s="1430" t="s">
        <v>398</v>
      </c>
      <c r="G383" s="1430" t="s">
        <v>2617</v>
      </c>
      <c r="H383" s="1233"/>
      <c r="I383" s="1240"/>
      <c r="J383" s="1240"/>
      <c r="K383" s="1240"/>
      <c r="L383" s="150">
        <f t="shared" si="18"/>
        <v>6422</v>
      </c>
      <c r="M383" s="151" t="str">
        <f t="shared" si="19"/>
        <v>SAL SUPERVISION / GERANT</v>
      </c>
      <c r="N383" s="152">
        <f>+IF(OR($Q383=Parametres!$G$2,$Q383=Parametres!$G$3),I383,C383)</f>
        <v>117883.76</v>
      </c>
      <c r="O383" s="152">
        <f>+IF(OR($Q383=Parametres!$G$2,$Q383=Parametres!$G$3),J383,D383)</f>
        <v>12022.88</v>
      </c>
      <c r="P383" s="152">
        <f>+IF(OR($Q383=Parametres!$G$2,$Q383=Parametres!$G$3),K383,E383)</f>
        <v>129906.64</v>
      </c>
      <c r="Q383" s="151" t="str">
        <f t="shared" si="27"/>
        <v>7-Dépenses</v>
      </c>
      <c r="R383" s="150" t="str">
        <f t="shared" si="27"/>
        <v>6122</v>
      </c>
      <c r="S383" s="151">
        <f t="shared" si="27"/>
        <v>0</v>
      </c>
      <c r="T383" s="153">
        <f>+VLOOKUP($L383,Data_Validation!$A:$D,1,0)</f>
        <v>6422</v>
      </c>
      <c r="U383" s="153" t="str">
        <f>+VLOOKUP($L383,Data_Validation!$A:$D,3,0)</f>
        <v>Service</v>
      </c>
      <c r="V383" s="153" t="str">
        <f>+VLOOKUP($L383,Data_Validation!$A:$D,4,0)</f>
        <v>Salaires cadres</v>
      </c>
      <c r="W383" s="153" t="str">
        <f>+VLOOKUP($L383,Data_Validation!$A:$E,5,0)</f>
        <v>$</v>
      </c>
      <c r="X383" s="153">
        <f>+VLOOKUP($L383,Data_Validation!$A:$F,6,0)</f>
        <v>0</v>
      </c>
    </row>
    <row r="384" spans="1:24" ht="15" customHeight="1">
      <c r="A384" s="1430" t="s">
        <v>1263</v>
      </c>
      <c r="B384" s="1431">
        <v>6423</v>
      </c>
      <c r="C384" s="1433">
        <v>86442.47</v>
      </c>
      <c r="D384" s="1433">
        <v>9011.14</v>
      </c>
      <c r="E384" s="1433">
        <v>95453.61</v>
      </c>
      <c r="F384" s="1430" t="s">
        <v>398</v>
      </c>
      <c r="G384" s="1430" t="s">
        <v>2670</v>
      </c>
      <c r="H384" s="1233"/>
      <c r="I384" s="1240"/>
      <c r="J384" s="1240"/>
      <c r="K384" s="1240"/>
      <c r="L384" s="150">
        <f t="shared" si="18"/>
        <v>6423</v>
      </c>
      <c r="M384" s="151" t="str">
        <f t="shared" si="19"/>
        <v>SAL. &amp; RENUM. CLERICAL</v>
      </c>
      <c r="N384" s="152">
        <f>+IF(OR($Q384=Parametres!$G$2,$Q384=Parametres!$G$3),I384,C384)</f>
        <v>86442.47</v>
      </c>
      <c r="O384" s="152">
        <f>+IF(OR($Q384=Parametres!$G$2,$Q384=Parametres!$G$3),J384,D384)</f>
        <v>9011.14</v>
      </c>
      <c r="P384" s="152">
        <f>+IF(OR($Q384=Parametres!$G$2,$Q384=Parametres!$G$3),K384,E384)</f>
        <v>95453.61</v>
      </c>
      <c r="Q384" s="151" t="str">
        <f t="shared" si="27"/>
        <v>7-Dépenses</v>
      </c>
      <c r="R384" s="150" t="str">
        <f t="shared" si="27"/>
        <v>6123</v>
      </c>
      <c r="S384" s="151">
        <f t="shared" si="27"/>
        <v>0</v>
      </c>
      <c r="T384" s="153">
        <f>+VLOOKUP($L384,Data_Validation!$A:$D,1,0)</f>
        <v>6423</v>
      </c>
      <c r="U384" s="153" t="str">
        <f>+VLOOKUP($L384,Data_Validation!$A:$D,3,0)</f>
        <v>Service</v>
      </c>
      <c r="V384" s="153" t="str">
        <f>+VLOOKUP($L384,Data_Validation!$A:$D,4,0)</f>
        <v>Salaires commis</v>
      </c>
      <c r="W384" s="153" t="str">
        <f>+VLOOKUP($L384,Data_Validation!$A:$E,5,0)</f>
        <v>$</v>
      </c>
      <c r="X384" s="153">
        <f>+VLOOKUP($L384,Data_Validation!$A:$F,6,0)</f>
        <v>0</v>
      </c>
    </row>
    <row r="385" spans="1:24" ht="15" customHeight="1">
      <c r="A385" s="1430" t="s">
        <v>1246</v>
      </c>
      <c r="B385" s="1431">
        <v>6424</v>
      </c>
      <c r="C385" s="1433">
        <v>113610.05</v>
      </c>
      <c r="D385" s="1433">
        <v>16821.87</v>
      </c>
      <c r="E385" s="1433">
        <v>130431.92</v>
      </c>
      <c r="F385" s="1430" t="s">
        <v>398</v>
      </c>
      <c r="G385" s="1430" t="s">
        <v>2726</v>
      </c>
      <c r="H385" s="1233"/>
      <c r="I385" s="1240"/>
      <c r="J385" s="1240"/>
      <c r="K385" s="1240"/>
      <c r="L385" s="150">
        <f t="shared" si="18"/>
        <v>6424</v>
      </c>
      <c r="M385" s="151" t="str">
        <f t="shared" si="19"/>
        <v>SALAIRES &amp; RENUM. - AUTRES</v>
      </c>
      <c r="N385" s="152">
        <f>+IF(OR($Q385=Parametres!$G$2,$Q385=Parametres!$G$3),I385,C385)</f>
        <v>113610.05</v>
      </c>
      <c r="O385" s="152">
        <f>+IF(OR($Q385=Parametres!$G$2,$Q385=Parametres!$G$3),J385,D385)</f>
        <v>16821.87</v>
      </c>
      <c r="P385" s="152">
        <f>+IF(OR($Q385=Parametres!$G$2,$Q385=Parametres!$G$3),K385,E385)</f>
        <v>130431.92</v>
      </c>
      <c r="Q385" s="151" t="str">
        <f t="shared" si="27"/>
        <v>7-Dépenses</v>
      </c>
      <c r="R385" s="150" t="str">
        <f t="shared" si="27"/>
        <v>6124</v>
      </c>
      <c r="S385" s="151">
        <f t="shared" si="27"/>
        <v>0</v>
      </c>
      <c r="T385" s="153">
        <f>+VLOOKUP($L385,Data_Validation!$A:$D,1,0)</f>
        <v>6424</v>
      </c>
      <c r="U385" s="153" t="str">
        <f>+VLOOKUP($L385,Data_Validation!$A:$D,3,0)</f>
        <v>Service</v>
      </c>
      <c r="V385" s="153" t="str">
        <f>+VLOOKUP($L385,Data_Validation!$A:$D,4,0)</f>
        <v>Salaires autres</v>
      </c>
      <c r="W385" s="153" t="str">
        <f>+VLOOKUP($L385,Data_Validation!$A:$E,5,0)</f>
        <v>$</v>
      </c>
      <c r="X385" s="153">
        <f>+VLOOKUP($L385,Data_Validation!$A:$F,6,0)</f>
        <v>0</v>
      </c>
    </row>
    <row r="386" spans="1:24" ht="15" customHeight="1">
      <c r="A386" s="1430" t="s">
        <v>1327</v>
      </c>
      <c r="B386" s="1431">
        <v>6425</v>
      </c>
      <c r="C386" s="1433">
        <v>230906.96</v>
      </c>
      <c r="D386" s="1433">
        <v>28825.360000000001</v>
      </c>
      <c r="E386" s="1433">
        <v>259732.32</v>
      </c>
      <c r="F386" s="1430" t="s">
        <v>398</v>
      </c>
      <c r="G386" s="1430" t="s">
        <v>2712</v>
      </c>
      <c r="H386" s="1233"/>
      <c r="I386" s="1240"/>
      <c r="J386" s="1240"/>
      <c r="K386" s="1240"/>
      <c r="L386" s="150">
        <f t="shared" si="18"/>
        <v>6425</v>
      </c>
      <c r="M386" s="151" t="str">
        <f t="shared" si="19"/>
        <v>SALAIRE SPECIALISTES</v>
      </c>
      <c r="N386" s="152">
        <f>+IF(OR($Q386=Parametres!$G$2,$Q386=Parametres!$G$3),I386,C386)</f>
        <v>230906.96</v>
      </c>
      <c r="O386" s="152">
        <f>+IF(OR($Q386=Parametres!$G$2,$Q386=Parametres!$G$3),J386,D386)</f>
        <v>28825.360000000001</v>
      </c>
      <c r="P386" s="152">
        <f>+IF(OR($Q386=Parametres!$G$2,$Q386=Parametres!$G$3),K386,E386)</f>
        <v>259732.32</v>
      </c>
      <c r="Q386" s="151" t="str">
        <f t="shared" ref="Q386:S401" si="28">+F386</f>
        <v>7-Dépenses</v>
      </c>
      <c r="R386" s="150" t="str">
        <f t="shared" si="28"/>
        <v>6125</v>
      </c>
      <c r="S386" s="151">
        <f t="shared" si="28"/>
        <v>0</v>
      </c>
      <c r="T386" s="153">
        <f>+VLOOKUP($L386,Data_Validation!$A:$D,1,0)</f>
        <v>6425</v>
      </c>
      <c r="U386" s="153" t="str">
        <f>+VLOOKUP($L386,Data_Validation!$A:$D,3,0)</f>
        <v>Service</v>
      </c>
      <c r="V386" s="153" t="str">
        <f>+VLOOKUP($L386,Data_Validation!$A:$D,4,0)</f>
        <v>Salaires spécialistes</v>
      </c>
      <c r="W386" s="153" t="str">
        <f>+VLOOKUP($L386,Data_Validation!$A:$E,5,0)</f>
        <v>$</v>
      </c>
      <c r="X386" s="153">
        <f>+VLOOKUP($L386,Data_Validation!$A:$F,6,0)</f>
        <v>0</v>
      </c>
    </row>
    <row r="387" spans="1:24" ht="15.75" customHeight="1">
      <c r="A387" s="1430" t="s">
        <v>1445</v>
      </c>
      <c r="B387" s="1431">
        <v>6429</v>
      </c>
      <c r="C387" s="1433">
        <v>143739.56</v>
      </c>
      <c r="D387" s="1433">
        <v>17681.939999999999</v>
      </c>
      <c r="E387" s="1433">
        <v>161421.5</v>
      </c>
      <c r="F387" s="1430" t="s">
        <v>398</v>
      </c>
      <c r="G387" s="1430" t="s">
        <v>2632</v>
      </c>
      <c r="H387" s="1233"/>
      <c r="I387" s="1240"/>
      <c r="J387" s="1240"/>
      <c r="K387" s="1240"/>
      <c r="L387" s="150">
        <f t="shared" si="18"/>
        <v>6429</v>
      </c>
      <c r="M387" s="151" t="str">
        <f t="shared" si="19"/>
        <v>SAL.,VACANCE, &amp; SAL. JOURS FER</v>
      </c>
      <c r="N387" s="152">
        <f>+IF(OR($Q387=Parametres!$G$2,$Q387=Parametres!$G$3),I387,C387)</f>
        <v>143739.56</v>
      </c>
      <c r="O387" s="152">
        <f>+IF(OR($Q387=Parametres!$G$2,$Q387=Parametres!$G$3),J387,D387)</f>
        <v>17681.939999999999</v>
      </c>
      <c r="P387" s="152">
        <f>+IF(OR($Q387=Parametres!$G$2,$Q387=Parametres!$G$3),K387,E387)</f>
        <v>161421.5</v>
      </c>
      <c r="Q387" s="151" t="str">
        <f t="shared" si="28"/>
        <v>7-Dépenses</v>
      </c>
      <c r="R387" s="150" t="str">
        <f t="shared" si="28"/>
        <v>6129</v>
      </c>
      <c r="S387" s="151">
        <f t="shared" si="28"/>
        <v>0</v>
      </c>
      <c r="T387" s="153">
        <f>+VLOOKUP($L387,Data_Validation!$A:$D,1,0)</f>
        <v>6429</v>
      </c>
      <c r="U387" s="153" t="str">
        <f>+VLOOKUP($L387,Data_Validation!$A:$D,3,0)</f>
        <v>Service</v>
      </c>
      <c r="V387" s="153" t="str">
        <f>+VLOOKUP($L387,Data_Validation!$A:$D,4,0)</f>
        <v>Salaires en absences</v>
      </c>
      <c r="W387" s="153" t="str">
        <f>+VLOOKUP($L387,Data_Validation!$A:$E,5,0)</f>
        <v>$</v>
      </c>
      <c r="X387" s="153">
        <f>+VLOOKUP($L387,Data_Validation!$A:$F,6,0)</f>
        <v>0</v>
      </c>
    </row>
    <row r="388" spans="1:24" ht="15" customHeight="1">
      <c r="A388" s="1430" t="s">
        <v>1249</v>
      </c>
      <c r="B388" s="1431">
        <v>6431</v>
      </c>
      <c r="C388" s="1433">
        <v>24375.22</v>
      </c>
      <c r="D388" s="1433">
        <v>2470.04</v>
      </c>
      <c r="E388" s="1433">
        <v>26845.26</v>
      </c>
      <c r="F388" s="1430" t="s">
        <v>398</v>
      </c>
      <c r="G388" s="1430" t="s">
        <v>2577</v>
      </c>
      <c r="H388" s="1233"/>
      <c r="I388" s="1240"/>
      <c r="J388" s="1240"/>
      <c r="K388" s="1240"/>
      <c r="L388" s="150">
        <f t="shared" si="18"/>
        <v>6431</v>
      </c>
      <c r="M388" s="151" t="str">
        <f t="shared" si="19"/>
        <v>CSST</v>
      </c>
      <c r="N388" s="152">
        <f>+IF(OR($Q388=Parametres!$G$2,$Q388=Parametres!$G$3),I388,C388)</f>
        <v>24375.22</v>
      </c>
      <c r="O388" s="152">
        <f>+IF(OR($Q388=Parametres!$G$2,$Q388=Parametres!$G$3),J388,D388)</f>
        <v>2470.04</v>
      </c>
      <c r="P388" s="152">
        <f>+IF(OR($Q388=Parametres!$G$2,$Q388=Parametres!$G$3),K388,E388)</f>
        <v>26845.26</v>
      </c>
      <c r="Q388" s="151" t="str">
        <f t="shared" si="28"/>
        <v>7-Dépenses</v>
      </c>
      <c r="R388" s="150" t="str">
        <f t="shared" si="28"/>
        <v>6131</v>
      </c>
      <c r="S388" s="151">
        <f t="shared" si="28"/>
        <v>0</v>
      </c>
      <c r="T388" s="153">
        <f>+VLOOKUP($L388,Data_Validation!$A:$D,1,0)</f>
        <v>6431</v>
      </c>
      <c r="U388" s="153" t="str">
        <f>+VLOOKUP($L388,Data_Validation!$A:$D,3,0)</f>
        <v>Service</v>
      </c>
      <c r="V388" s="153" t="str">
        <f>+VLOOKUP($L388,Data_Validation!$A:$D,4,0)</f>
        <v>Csst</v>
      </c>
      <c r="W388" s="153" t="str">
        <f>+VLOOKUP($L388,Data_Validation!$A:$E,5,0)</f>
        <v>$</v>
      </c>
      <c r="X388" s="153">
        <f>+VLOOKUP($L388,Data_Validation!$A:$F,6,0)</f>
        <v>0</v>
      </c>
    </row>
    <row r="389" spans="1:24" ht="15" customHeight="1">
      <c r="A389" s="1430" t="s">
        <v>1280</v>
      </c>
      <c r="B389" s="1431">
        <v>6432</v>
      </c>
      <c r="C389" s="1433">
        <v>146251.26999999999</v>
      </c>
      <c r="D389" s="1433">
        <v>14820.27</v>
      </c>
      <c r="E389" s="1433">
        <v>161071.54</v>
      </c>
      <c r="F389" s="1430" t="s">
        <v>398</v>
      </c>
      <c r="G389" s="1430" t="s">
        <v>2676</v>
      </c>
      <c r="H389" s="1233"/>
      <c r="I389" s="1240"/>
      <c r="J389" s="1240"/>
      <c r="K389" s="1240"/>
      <c r="L389" s="150">
        <f t="shared" si="18"/>
        <v>6432</v>
      </c>
      <c r="M389" s="151" t="str">
        <f t="shared" si="19"/>
        <v>RRQ RAMQ AC</v>
      </c>
      <c r="N389" s="152">
        <f>+IF(OR($Q389=Parametres!$G$2,$Q389=Parametres!$G$3),I389,C389)</f>
        <v>146251.26999999999</v>
      </c>
      <c r="O389" s="152">
        <f>+IF(OR($Q389=Parametres!$G$2,$Q389=Parametres!$G$3),J389,D389)</f>
        <v>14820.27</v>
      </c>
      <c r="P389" s="152">
        <f>+IF(OR($Q389=Parametres!$G$2,$Q389=Parametres!$G$3),K389,E389)</f>
        <v>161071.54</v>
      </c>
      <c r="Q389" s="151" t="str">
        <f t="shared" si="28"/>
        <v>7-Dépenses</v>
      </c>
      <c r="R389" s="150" t="str">
        <f t="shared" si="28"/>
        <v>6132</v>
      </c>
      <c r="S389" s="151">
        <f t="shared" si="28"/>
        <v>0</v>
      </c>
      <c r="T389" s="153">
        <f>+VLOOKUP($L389,Data_Validation!$A:$D,1,0)</f>
        <v>6432</v>
      </c>
      <c r="U389" s="153" t="str">
        <f>+VLOOKUP($L389,Data_Validation!$A:$D,3,0)</f>
        <v>Service</v>
      </c>
      <c r="V389" s="153" t="str">
        <f>+VLOOKUP($L389,Data_Validation!$A:$D,4,0)</f>
        <v>Déduction à la source</v>
      </c>
      <c r="W389" s="153" t="str">
        <f>+VLOOKUP($L389,Data_Validation!$A:$E,5,0)</f>
        <v>$</v>
      </c>
      <c r="X389" s="153">
        <f>+VLOOKUP($L389,Data_Validation!$A:$F,6,0)</f>
        <v>0</v>
      </c>
    </row>
    <row r="390" spans="1:24" ht="15" customHeight="1">
      <c r="A390" s="1430" t="s">
        <v>1217</v>
      </c>
      <c r="B390" s="1431">
        <v>6433</v>
      </c>
      <c r="C390" s="1433">
        <v>2457.9499999999998</v>
      </c>
      <c r="D390" s="1433">
        <v>291.39</v>
      </c>
      <c r="E390" s="1433">
        <v>2749.34</v>
      </c>
      <c r="F390" s="1430" t="s">
        <v>398</v>
      </c>
      <c r="G390" s="1430" t="s">
        <v>2570</v>
      </c>
      <c r="H390" s="1233"/>
      <c r="I390" s="1240"/>
      <c r="J390" s="1240"/>
      <c r="K390" s="1240"/>
      <c r="L390" s="150">
        <f t="shared" si="18"/>
        <v>6433</v>
      </c>
      <c r="M390" s="151" t="str">
        <f t="shared" si="19"/>
        <v>FOND PENSION - SERVICE</v>
      </c>
      <c r="N390" s="152">
        <f>+IF(OR($Q390=Parametres!$G$2,$Q390=Parametres!$G$3),I390,C390)</f>
        <v>2457.9499999999998</v>
      </c>
      <c r="O390" s="152">
        <f>+IF(OR($Q390=Parametres!$G$2,$Q390=Parametres!$G$3),J390,D390)</f>
        <v>291.39</v>
      </c>
      <c r="P390" s="152">
        <f>+IF(OR($Q390=Parametres!$G$2,$Q390=Parametres!$G$3),K390,E390)</f>
        <v>2749.34</v>
      </c>
      <c r="Q390" s="151" t="str">
        <f t="shared" si="28"/>
        <v>7-Dépenses</v>
      </c>
      <c r="R390" s="150" t="str">
        <f t="shared" si="28"/>
        <v>6133</v>
      </c>
      <c r="S390" s="151">
        <f t="shared" si="28"/>
        <v>0</v>
      </c>
      <c r="T390" s="153">
        <f>+VLOOKUP($L390,Data_Validation!$A:$D,1,0)</f>
        <v>6433</v>
      </c>
      <c r="U390" s="153" t="str">
        <f>+VLOOKUP($L390,Data_Validation!$A:$D,3,0)</f>
        <v>Service</v>
      </c>
      <c r="V390" s="153" t="str">
        <f>+VLOOKUP($L390,Data_Validation!$A:$D,4,0)</f>
        <v>Bénéfices marginaux</v>
      </c>
      <c r="W390" s="153" t="str">
        <f>+VLOOKUP($L390,Data_Validation!$A:$E,5,0)</f>
        <v>$</v>
      </c>
      <c r="X390" s="153">
        <f>+VLOOKUP($L390,Data_Validation!$A:$F,6,0)</f>
        <v>0</v>
      </c>
    </row>
    <row r="391" spans="1:24" ht="15.75" customHeight="1">
      <c r="A391" s="1430" t="s">
        <v>1302</v>
      </c>
      <c r="B391" s="1431">
        <v>6439</v>
      </c>
      <c r="C391" s="1433">
        <v>102355.45</v>
      </c>
      <c r="D391" s="1433">
        <v>10329.799999999999</v>
      </c>
      <c r="E391" s="1433">
        <v>112685.25</v>
      </c>
      <c r="F391" s="1430" t="s">
        <v>398</v>
      </c>
      <c r="G391" s="1430" t="s">
        <v>2685</v>
      </c>
      <c r="H391" s="1233"/>
      <c r="I391" s="1240"/>
      <c r="J391" s="1240"/>
      <c r="K391" s="1240"/>
      <c r="L391" s="150">
        <f t="shared" si="18"/>
        <v>6439</v>
      </c>
      <c r="M391" s="151" t="str">
        <f t="shared" si="19"/>
        <v>ASSURANCE GROUPE</v>
      </c>
      <c r="N391" s="152">
        <f>+IF(OR($Q391=Parametres!$G$2,$Q391=Parametres!$G$3),I391,C391)</f>
        <v>102355.45</v>
      </c>
      <c r="O391" s="152">
        <f>+IF(OR($Q391=Parametres!$G$2,$Q391=Parametres!$G$3),J391,D391)</f>
        <v>10329.799999999999</v>
      </c>
      <c r="P391" s="152">
        <f>+IF(OR($Q391=Parametres!$G$2,$Q391=Parametres!$G$3),K391,E391)</f>
        <v>112685.25</v>
      </c>
      <c r="Q391" s="151" t="str">
        <f t="shared" si="28"/>
        <v>7-Dépenses</v>
      </c>
      <c r="R391" s="150" t="str">
        <f t="shared" si="28"/>
        <v>6139</v>
      </c>
      <c r="S391" s="151">
        <f t="shared" si="28"/>
        <v>0</v>
      </c>
      <c r="T391" s="153">
        <f>+VLOOKUP($L391,Data_Validation!$A:$D,1,0)</f>
        <v>6439</v>
      </c>
      <c r="U391" s="153" t="str">
        <f>+VLOOKUP($L391,Data_Validation!$A:$D,3,0)</f>
        <v>Service</v>
      </c>
      <c r="V391" s="153" t="str">
        <f>+VLOOKUP($L391,Data_Validation!$A:$D,4,0)</f>
        <v>Bénéfices marginaux</v>
      </c>
      <c r="W391" s="153" t="str">
        <f>+VLOOKUP($L391,Data_Validation!$A:$E,5,0)</f>
        <v>$</v>
      </c>
      <c r="X391" s="153">
        <f>+VLOOKUP($L391,Data_Validation!$A:$F,6,0)</f>
        <v>0</v>
      </c>
    </row>
    <row r="392" spans="1:24" ht="15" customHeight="1">
      <c r="A392" s="1430" t="s">
        <v>1175</v>
      </c>
      <c r="B392" s="1431">
        <v>6441</v>
      </c>
      <c r="C392" s="1433">
        <v>3083.88</v>
      </c>
      <c r="D392" s="1433">
        <v>668.55</v>
      </c>
      <c r="E392" s="1433">
        <v>3752.43</v>
      </c>
      <c r="F392" s="1430" t="s">
        <v>398</v>
      </c>
      <c r="G392" s="1430" t="s">
        <v>2458</v>
      </c>
      <c r="H392" s="1233"/>
      <c r="I392" s="1240"/>
      <c r="J392" s="1240"/>
      <c r="K392" s="1240"/>
      <c r="L392" s="150">
        <f t="shared" si="18"/>
        <v>6441</v>
      </c>
      <c r="M392" s="151" t="str">
        <f t="shared" si="19"/>
        <v>RETOURS</v>
      </c>
      <c r="N392" s="152">
        <f>+IF(OR($Q392=Parametres!$G$2,$Q392=Parametres!$G$3),I392,C392)</f>
        <v>3083.88</v>
      </c>
      <c r="O392" s="152">
        <f>+IF(OR($Q392=Parametres!$G$2,$Q392=Parametres!$G$3),J392,D392)</f>
        <v>668.55</v>
      </c>
      <c r="P392" s="152">
        <f>+IF(OR($Q392=Parametres!$G$2,$Q392=Parametres!$G$3),K392,E392)</f>
        <v>3752.43</v>
      </c>
      <c r="Q392" s="151" t="str">
        <f t="shared" si="28"/>
        <v>7-Dépenses</v>
      </c>
      <c r="R392" s="150" t="str">
        <f t="shared" si="28"/>
        <v>6112</v>
      </c>
      <c r="S392" s="151">
        <f t="shared" si="28"/>
        <v>0</v>
      </c>
      <c r="T392" s="153">
        <f>+VLOOKUP($L392,Data_Validation!$A:$D,1,0)</f>
        <v>6441</v>
      </c>
      <c r="U392" s="153" t="str">
        <f>+VLOOKUP($L392,Data_Validation!$A:$D,3,0)</f>
        <v>Service</v>
      </c>
      <c r="V392" s="153" t="str">
        <f>+VLOOKUP($L392,Data_Validation!$A:$D,4,0)</f>
        <v>Service gratuit 2</v>
      </c>
      <c r="W392" s="153" t="str">
        <f>+VLOOKUP($L392,Data_Validation!$A:$E,5,0)</f>
        <v>$</v>
      </c>
      <c r="X392" s="153">
        <f>+VLOOKUP($L392,Data_Validation!$A:$F,6,0)</f>
        <v>0</v>
      </c>
    </row>
    <row r="393" spans="1:24" ht="15" customHeight="1">
      <c r="A393" s="1430" t="s">
        <v>1154</v>
      </c>
      <c r="B393" s="1431">
        <v>6442</v>
      </c>
      <c r="C393" s="1433">
        <v>8059.19</v>
      </c>
      <c r="D393" s="1433">
        <v>-90.89</v>
      </c>
      <c r="E393" s="1433">
        <v>7968.3</v>
      </c>
      <c r="F393" s="1430" t="s">
        <v>398</v>
      </c>
      <c r="G393" s="1430" t="s">
        <v>2554</v>
      </c>
      <c r="H393" s="1233"/>
      <c r="I393" s="1240"/>
      <c r="J393" s="1240"/>
      <c r="K393" s="1240"/>
      <c r="L393" s="150">
        <f t="shared" si="18"/>
        <v>6442</v>
      </c>
      <c r="M393" s="151" t="str">
        <f t="shared" si="19"/>
        <v>FOURNITURES &amp; PETITS OUTILS</v>
      </c>
      <c r="N393" s="152">
        <f>+IF(OR($Q393=Parametres!$G$2,$Q393=Parametres!$G$3),I393,C393)</f>
        <v>8059.19</v>
      </c>
      <c r="O393" s="152">
        <f>+IF(OR($Q393=Parametres!$G$2,$Q393=Parametres!$G$3),J393,D393)</f>
        <v>-90.89</v>
      </c>
      <c r="P393" s="152">
        <f>+IF(OR($Q393=Parametres!$G$2,$Q393=Parametres!$G$3),K393,E393)</f>
        <v>7968.3</v>
      </c>
      <c r="Q393" s="151" t="str">
        <f t="shared" si="28"/>
        <v>7-Dépenses</v>
      </c>
      <c r="R393" s="150" t="str">
        <f t="shared" si="28"/>
        <v>6142</v>
      </c>
      <c r="S393" s="151">
        <f t="shared" si="28"/>
        <v>0</v>
      </c>
      <c r="T393" s="153">
        <f>+VLOOKUP($L393,Data_Validation!$A:$D,1,0)</f>
        <v>6442</v>
      </c>
      <c r="U393" s="153" t="str">
        <f>+VLOOKUP($L393,Data_Validation!$A:$D,3,0)</f>
        <v>Service</v>
      </c>
      <c r="V393" s="153" t="str">
        <f>+VLOOKUP($L393,Data_Validation!$A:$D,4,0)</f>
        <v>Fournitures autres</v>
      </c>
      <c r="W393" s="153" t="str">
        <f>+VLOOKUP($L393,Data_Validation!$A:$E,5,0)</f>
        <v>$</v>
      </c>
      <c r="X393" s="153">
        <f>+VLOOKUP($L393,Data_Validation!$A:$F,6,0)</f>
        <v>0</v>
      </c>
    </row>
    <row r="394" spans="1:24" ht="15" customHeight="1">
      <c r="A394" s="1430" t="s">
        <v>929</v>
      </c>
      <c r="B394" s="1431">
        <v>6443</v>
      </c>
      <c r="C394" s="1433">
        <v>6558.14</v>
      </c>
      <c r="D394" s="1433">
        <v>954.57</v>
      </c>
      <c r="E394" s="1433">
        <v>7512.71</v>
      </c>
      <c r="F394" s="1430" t="s">
        <v>398</v>
      </c>
      <c r="G394" s="1430" t="s">
        <v>2152</v>
      </c>
      <c r="H394" s="1233"/>
      <c r="I394" s="1240"/>
      <c r="J394" s="1240"/>
      <c r="K394" s="1240"/>
      <c r="L394" s="150">
        <f t="shared" si="18"/>
        <v>6443</v>
      </c>
      <c r="M394" s="151" t="str">
        <f t="shared" si="19"/>
        <v>UNIFORMES &amp; LESSIVE</v>
      </c>
      <c r="N394" s="152">
        <f>+IF(OR($Q394=Parametres!$G$2,$Q394=Parametres!$G$3),I394,C394)</f>
        <v>6558.14</v>
      </c>
      <c r="O394" s="152">
        <f>+IF(OR($Q394=Parametres!$G$2,$Q394=Parametres!$G$3),J394,D394)</f>
        <v>954.57</v>
      </c>
      <c r="P394" s="152">
        <f>+IF(OR($Q394=Parametres!$G$2,$Q394=Parametres!$G$3),K394,E394)</f>
        <v>7512.71</v>
      </c>
      <c r="Q394" s="151" t="str">
        <f t="shared" si="28"/>
        <v>7-Dépenses</v>
      </c>
      <c r="R394" s="150" t="str">
        <f t="shared" si="28"/>
        <v>6143</v>
      </c>
      <c r="S394" s="151">
        <f t="shared" si="28"/>
        <v>0</v>
      </c>
      <c r="T394" s="153">
        <f>+VLOOKUP($L394,Data_Validation!$A:$D,1,0)</f>
        <v>6443</v>
      </c>
      <c r="U394" s="153" t="str">
        <f>+VLOOKUP($L394,Data_Validation!$A:$D,3,0)</f>
        <v>Service</v>
      </c>
      <c r="V394" s="153" t="str">
        <f>+VLOOKUP($L394,Data_Validation!$A:$D,4,0)</f>
        <v>Uniformes</v>
      </c>
      <c r="W394" s="153" t="str">
        <f>+VLOOKUP($L394,Data_Validation!$A:$E,5,0)</f>
        <v>$</v>
      </c>
      <c r="X394" s="153">
        <f>+VLOOKUP($L394,Data_Validation!$A:$F,6,0)</f>
        <v>0</v>
      </c>
    </row>
    <row r="395" spans="1:24" ht="15.75" customHeight="1">
      <c r="A395" s="1430" t="s">
        <v>931</v>
      </c>
      <c r="B395" s="1431">
        <v>6444</v>
      </c>
      <c r="C395" s="1433">
        <v>11474.97</v>
      </c>
      <c r="D395" s="1433">
        <v>2523.88</v>
      </c>
      <c r="E395" s="1433">
        <v>13998.85</v>
      </c>
      <c r="F395" s="1430" t="s">
        <v>398</v>
      </c>
      <c r="G395" s="1430" t="s">
        <v>2552</v>
      </c>
      <c r="H395" s="1233"/>
      <c r="I395" s="1240"/>
      <c r="J395" s="1240"/>
      <c r="K395" s="1240"/>
      <c r="L395" s="150">
        <f t="shared" si="18"/>
        <v>6444</v>
      </c>
      <c r="M395" s="151" t="str">
        <f t="shared" si="19"/>
        <v>FORMATION</v>
      </c>
      <c r="N395" s="152">
        <f>+IF(OR($Q395=Parametres!$G$2,$Q395=Parametres!$G$3),I395,C395)</f>
        <v>11474.97</v>
      </c>
      <c r="O395" s="152">
        <f>+IF(OR($Q395=Parametres!$G$2,$Q395=Parametres!$G$3),J395,D395)</f>
        <v>2523.88</v>
      </c>
      <c r="P395" s="152">
        <f>+IF(OR($Q395=Parametres!$G$2,$Q395=Parametres!$G$3),K395,E395)</f>
        <v>13998.85</v>
      </c>
      <c r="Q395" s="151" t="str">
        <f t="shared" si="28"/>
        <v>7-Dépenses</v>
      </c>
      <c r="R395" s="150" t="str">
        <f t="shared" si="28"/>
        <v>6144</v>
      </c>
      <c r="S395" s="151">
        <f t="shared" si="28"/>
        <v>0</v>
      </c>
      <c r="T395" s="153">
        <f>+VLOOKUP($L395,Data_Validation!$A:$D,1,0)</f>
        <v>6444</v>
      </c>
      <c r="U395" s="153" t="str">
        <f>+VLOOKUP($L395,Data_Validation!$A:$D,3,0)</f>
        <v>Service</v>
      </c>
      <c r="V395" s="153" t="str">
        <f>+VLOOKUP($L395,Data_Validation!$A:$D,4,0)</f>
        <v>Formation</v>
      </c>
      <c r="W395" s="153" t="str">
        <f>+VLOOKUP($L395,Data_Validation!$A:$E,5,0)</f>
        <v>$</v>
      </c>
      <c r="X395" s="153">
        <f>+VLOOKUP($L395,Data_Validation!$A:$F,6,0)</f>
        <v>0</v>
      </c>
    </row>
    <row r="396" spans="1:24" ht="15" customHeight="1">
      <c r="A396" s="1430" t="s">
        <v>1524</v>
      </c>
      <c r="B396" s="1431">
        <v>6445</v>
      </c>
      <c r="C396" s="1433">
        <v>150232.19</v>
      </c>
      <c r="D396" s="1433">
        <v>13657.87</v>
      </c>
      <c r="E396" s="1433">
        <v>163890.06</v>
      </c>
      <c r="F396" s="1430" t="s">
        <v>398</v>
      </c>
      <c r="G396" s="1430" t="s">
        <v>2623</v>
      </c>
      <c r="H396" s="1233"/>
      <c r="I396" s="1240"/>
      <c r="J396" s="1240"/>
      <c r="K396" s="1240"/>
      <c r="L396" s="150">
        <f t="shared" si="18"/>
        <v>6445</v>
      </c>
      <c r="M396" s="151" t="str">
        <f t="shared" si="19"/>
        <v>LOCATION COURTOISIE</v>
      </c>
      <c r="N396" s="152">
        <f>+IF(OR($Q396=Parametres!$G$2,$Q396=Parametres!$G$3),I396,C396)</f>
        <v>150232.19</v>
      </c>
      <c r="O396" s="152">
        <f>+IF(OR($Q396=Parametres!$G$2,$Q396=Parametres!$G$3),J396,D396)</f>
        <v>13657.87</v>
      </c>
      <c r="P396" s="152">
        <f>+IF(OR($Q396=Parametres!$G$2,$Q396=Parametres!$G$3),K396,E396)</f>
        <v>163890.06</v>
      </c>
      <c r="Q396" s="151" t="str">
        <f t="shared" si="28"/>
        <v>7-Dépenses</v>
      </c>
      <c r="R396" s="150" t="str">
        <f t="shared" si="28"/>
        <v>6145</v>
      </c>
      <c r="S396" s="151">
        <f t="shared" si="28"/>
        <v>0</v>
      </c>
      <c r="T396" s="153">
        <f>+VLOOKUP($L396,Data_Validation!$A:$D,1,0)</f>
        <v>6445</v>
      </c>
      <c r="U396" s="153" t="str">
        <f>+VLOOKUP($L396,Data_Validation!$A:$D,3,0)</f>
        <v>Service</v>
      </c>
      <c r="V396" s="153" t="str">
        <f>+VLOOKUP($L396,Data_Validation!$A:$D,4,0)</f>
        <v>Frais véhicules de cie</v>
      </c>
      <c r="W396" s="153" t="str">
        <f>+VLOOKUP($L396,Data_Validation!$A:$E,5,0)</f>
        <v>$</v>
      </c>
      <c r="X396" s="153">
        <f>+VLOOKUP($L396,Data_Validation!$A:$F,6,0)</f>
        <v>0</v>
      </c>
    </row>
    <row r="397" spans="1:24" ht="15" customHeight="1">
      <c r="A397" s="1430" t="s">
        <v>1177</v>
      </c>
      <c r="B397" s="1431">
        <v>6447</v>
      </c>
      <c r="C397" s="1433">
        <v>1536.28</v>
      </c>
      <c r="D397" s="1433">
        <v>150.86000000000001</v>
      </c>
      <c r="E397" s="1433">
        <v>1687.14</v>
      </c>
      <c r="F397" s="1430" t="s">
        <v>398</v>
      </c>
      <c r="G397" s="1430" t="s">
        <v>2572</v>
      </c>
      <c r="H397" s="1233"/>
      <c r="I397" s="1240"/>
      <c r="J397" s="1240"/>
      <c r="K397" s="1240"/>
      <c r="L397" s="150">
        <f t="shared" si="18"/>
        <v>6447</v>
      </c>
      <c r="M397" s="151" t="str">
        <f t="shared" si="19"/>
        <v>FRET/EXPRESS/TRANS. PAR CAMION</v>
      </c>
      <c r="N397" s="152">
        <f>+IF(OR($Q397=Parametres!$G$2,$Q397=Parametres!$G$3),I397,C397)</f>
        <v>1536.28</v>
      </c>
      <c r="O397" s="152">
        <f>+IF(OR($Q397=Parametres!$G$2,$Q397=Parametres!$G$3),J397,D397)</f>
        <v>150.86000000000001</v>
      </c>
      <c r="P397" s="152">
        <f>+IF(OR($Q397=Parametres!$G$2,$Q397=Parametres!$G$3),K397,E397)</f>
        <v>1687.14</v>
      </c>
      <c r="Q397" s="151" t="str">
        <f t="shared" si="28"/>
        <v>7-Dépenses</v>
      </c>
      <c r="R397" s="150" t="str">
        <f t="shared" si="28"/>
        <v>6147</v>
      </c>
      <c r="S397" s="151">
        <f t="shared" si="28"/>
        <v>0</v>
      </c>
      <c r="T397" s="153">
        <f>+VLOOKUP($L397,Data_Validation!$A:$D,1,0)</f>
        <v>6447</v>
      </c>
      <c r="U397" s="153" t="str">
        <f>+VLOOKUP($L397,Data_Validation!$A:$D,3,0)</f>
        <v>Service</v>
      </c>
      <c r="V397" s="153" t="str">
        <f>+VLOOKUP($L397,Data_Validation!$A:$D,4,0)</f>
        <v>Frais postaux</v>
      </c>
      <c r="W397" s="153" t="str">
        <f>+VLOOKUP($L397,Data_Validation!$A:$E,5,0)</f>
        <v>$</v>
      </c>
      <c r="X397" s="153">
        <f>+VLOOKUP($L397,Data_Validation!$A:$F,6,0)</f>
        <v>0</v>
      </c>
    </row>
    <row r="398" spans="1:24" ht="15" customHeight="1">
      <c r="A398" s="1430" t="s">
        <v>1283</v>
      </c>
      <c r="B398" s="1431">
        <v>6451</v>
      </c>
      <c r="C398" s="1433">
        <v>39144.42</v>
      </c>
      <c r="D398" s="1433">
        <v>3538.9</v>
      </c>
      <c r="E398" s="1433">
        <v>42683.32</v>
      </c>
      <c r="F398" s="1430" t="s">
        <v>398</v>
      </c>
      <c r="G398" s="1430" t="s">
        <v>2693</v>
      </c>
      <c r="H398" s="1233"/>
      <c r="I398" s="1240"/>
      <c r="J398" s="1240"/>
      <c r="K398" s="1240"/>
      <c r="L398" s="150">
        <f t="shared" si="18"/>
        <v>6451</v>
      </c>
      <c r="M398" s="151" t="str">
        <f t="shared" si="19"/>
        <v>DEP. DU TRAITEMENT DES DONNEES</v>
      </c>
      <c r="N398" s="152">
        <f>+IF(OR($Q398=Parametres!$G$2,$Q398=Parametres!$G$3),I398,C398)</f>
        <v>39144.42</v>
      </c>
      <c r="O398" s="152">
        <f>+IF(OR($Q398=Parametres!$G$2,$Q398=Parametres!$G$3),J398,D398)</f>
        <v>3538.9</v>
      </c>
      <c r="P398" s="152">
        <f>+IF(OR($Q398=Parametres!$G$2,$Q398=Parametres!$G$3),K398,E398)</f>
        <v>42683.32</v>
      </c>
      <c r="Q398" s="151" t="str">
        <f t="shared" si="28"/>
        <v>7-Dépenses</v>
      </c>
      <c r="R398" s="150" t="str">
        <f t="shared" si="28"/>
        <v>6151</v>
      </c>
      <c r="S398" s="151">
        <f t="shared" si="28"/>
        <v>0</v>
      </c>
      <c r="T398" s="153">
        <f>+VLOOKUP($L398,Data_Validation!$A:$D,1,0)</f>
        <v>6451</v>
      </c>
      <c r="U398" s="153" t="str">
        <f>+VLOOKUP($L398,Data_Validation!$A:$D,3,0)</f>
        <v>Service</v>
      </c>
      <c r="V398" s="153" t="str">
        <f>+VLOOKUP($L398,Data_Validation!$A:$D,4,0)</f>
        <v>Informatique</v>
      </c>
      <c r="W398" s="153" t="str">
        <f>+VLOOKUP($L398,Data_Validation!$A:$E,5,0)</f>
        <v>$</v>
      </c>
      <c r="X398" s="153">
        <f>+VLOOKUP($L398,Data_Validation!$A:$F,6,0)</f>
        <v>0</v>
      </c>
    </row>
    <row r="399" spans="1:24" ht="15.75" customHeight="1">
      <c r="A399" s="1430" t="s">
        <v>1203</v>
      </c>
      <c r="B399" s="1431">
        <v>6452</v>
      </c>
      <c r="C399" s="1433">
        <v>5906</v>
      </c>
      <c r="D399" s="1433">
        <v>263.37</v>
      </c>
      <c r="E399" s="1433">
        <v>6169.37</v>
      </c>
      <c r="F399" s="1430" t="s">
        <v>398</v>
      </c>
      <c r="G399" s="1430" t="s">
        <v>2579</v>
      </c>
      <c r="H399" s="1233"/>
      <c r="I399" s="1240"/>
      <c r="J399" s="1240"/>
      <c r="K399" s="1240"/>
      <c r="L399" s="150">
        <f t="shared" si="18"/>
        <v>6452</v>
      </c>
      <c r="M399" s="151" t="str">
        <f t="shared" si="19"/>
        <v>PAPETERIE</v>
      </c>
      <c r="N399" s="152">
        <f>+IF(OR($Q399=Parametres!$G$2,$Q399=Parametres!$G$3),I399,C399)</f>
        <v>5906</v>
      </c>
      <c r="O399" s="152">
        <f>+IF(OR($Q399=Parametres!$G$2,$Q399=Parametres!$G$3),J399,D399)</f>
        <v>263.37</v>
      </c>
      <c r="P399" s="152">
        <f>+IF(OR($Q399=Parametres!$G$2,$Q399=Parametres!$G$3),K399,E399)</f>
        <v>6169.37</v>
      </c>
      <c r="Q399" s="151" t="str">
        <f t="shared" si="28"/>
        <v>7-Dépenses</v>
      </c>
      <c r="R399" s="150" t="str">
        <f t="shared" si="28"/>
        <v>6152</v>
      </c>
      <c r="S399" s="151">
        <f t="shared" si="28"/>
        <v>0</v>
      </c>
      <c r="T399" s="153">
        <f>+VLOOKUP($L399,Data_Validation!$A:$D,1,0)</f>
        <v>6452</v>
      </c>
      <c r="U399" s="153" t="str">
        <f>+VLOOKUP($L399,Data_Validation!$A:$D,3,0)</f>
        <v>Service</v>
      </c>
      <c r="V399" s="153" t="str">
        <f>+VLOOKUP($L399,Data_Validation!$A:$D,4,0)</f>
        <v>Papeterie</v>
      </c>
      <c r="W399" s="153" t="str">
        <f>+VLOOKUP($L399,Data_Validation!$A:$E,5,0)</f>
        <v>$</v>
      </c>
      <c r="X399" s="153">
        <f>+VLOOKUP($L399,Data_Validation!$A:$F,6,0)</f>
        <v>0</v>
      </c>
    </row>
    <row r="400" spans="1:24" ht="15" customHeight="1">
      <c r="A400" s="1430" t="s">
        <v>1151</v>
      </c>
      <c r="B400" s="1431">
        <v>6453</v>
      </c>
      <c r="C400" s="1433">
        <v>2650.4</v>
      </c>
      <c r="D400" s="1433">
        <v>270.83</v>
      </c>
      <c r="E400" s="1433">
        <v>2921.23</v>
      </c>
      <c r="F400" s="1430" t="s">
        <v>398</v>
      </c>
      <c r="G400" s="1430" t="s">
        <v>2583</v>
      </c>
      <c r="H400" s="1233"/>
      <c r="I400" s="1240"/>
      <c r="J400" s="1240"/>
      <c r="K400" s="1240"/>
      <c r="L400" s="150">
        <f t="shared" si="18"/>
        <v>6453</v>
      </c>
      <c r="M400" s="151" t="str">
        <f t="shared" si="19"/>
        <v>TELEPHONE ET TELEX</v>
      </c>
      <c r="N400" s="152">
        <f>+IF(OR($Q400=Parametres!$G$2,$Q400=Parametres!$G$3),I400,C400)</f>
        <v>2650.4</v>
      </c>
      <c r="O400" s="152">
        <f>+IF(OR($Q400=Parametres!$G$2,$Q400=Parametres!$G$3),J400,D400)</f>
        <v>270.83</v>
      </c>
      <c r="P400" s="152">
        <f>+IF(OR($Q400=Parametres!$G$2,$Q400=Parametres!$G$3),K400,E400)</f>
        <v>2921.23</v>
      </c>
      <c r="Q400" s="151" t="str">
        <f t="shared" si="28"/>
        <v>7-Dépenses</v>
      </c>
      <c r="R400" s="150" t="str">
        <f t="shared" si="28"/>
        <v>6153</v>
      </c>
      <c r="S400" s="151">
        <f t="shared" si="28"/>
        <v>0</v>
      </c>
      <c r="T400" s="153">
        <f>+VLOOKUP($L400,Data_Validation!$A:$D,1,0)</f>
        <v>6453</v>
      </c>
      <c r="U400" s="153" t="str">
        <f>+VLOOKUP($L400,Data_Validation!$A:$D,3,0)</f>
        <v>Service</v>
      </c>
      <c r="V400" s="153" t="str">
        <f>+VLOOKUP($L400,Data_Validation!$A:$D,4,0)</f>
        <v>Téléphone</v>
      </c>
      <c r="W400" s="153" t="str">
        <f>+VLOOKUP($L400,Data_Validation!$A:$E,5,0)</f>
        <v>$</v>
      </c>
      <c r="X400" s="153">
        <f>+VLOOKUP($L400,Data_Validation!$A:$F,6,0)</f>
        <v>0</v>
      </c>
    </row>
    <row r="401" spans="1:24" ht="15" customHeight="1">
      <c r="A401" s="1430" t="s">
        <v>1234</v>
      </c>
      <c r="B401" s="1431">
        <v>6455</v>
      </c>
      <c r="C401" s="1433">
        <v>5532.46</v>
      </c>
      <c r="D401" s="1433">
        <v>564.09</v>
      </c>
      <c r="E401" s="1433">
        <v>6096.55</v>
      </c>
      <c r="F401" s="1430" t="s">
        <v>398</v>
      </c>
      <c r="G401" s="1430" t="s">
        <v>2628</v>
      </c>
      <c r="H401" s="1233"/>
      <c r="I401" s="1240"/>
      <c r="J401" s="1240"/>
      <c r="K401" s="1240"/>
      <c r="L401" s="150">
        <f t="shared" si="18"/>
        <v>6455</v>
      </c>
      <c r="M401" s="151" t="str">
        <f t="shared" si="19"/>
        <v>DEPENSES DIVERS</v>
      </c>
      <c r="N401" s="152">
        <f>+IF(OR($Q401=Parametres!$G$2,$Q401=Parametres!$G$3),I401,C401)</f>
        <v>5532.46</v>
      </c>
      <c r="O401" s="152">
        <f>+IF(OR($Q401=Parametres!$G$2,$Q401=Parametres!$G$3),J401,D401)</f>
        <v>564.09</v>
      </c>
      <c r="P401" s="152">
        <f>+IF(OR($Q401=Parametres!$G$2,$Q401=Parametres!$G$3),K401,E401)</f>
        <v>6096.55</v>
      </c>
      <c r="Q401" s="151" t="str">
        <f t="shared" si="28"/>
        <v>7-Dépenses</v>
      </c>
      <c r="R401" s="150" t="str">
        <f t="shared" si="28"/>
        <v>6155</v>
      </c>
      <c r="S401" s="151">
        <f t="shared" si="28"/>
        <v>0</v>
      </c>
      <c r="T401" s="153">
        <f>+VLOOKUP($L401,Data_Validation!$A:$D,1,0)</f>
        <v>6455</v>
      </c>
      <c r="U401" s="153" t="str">
        <f>+VLOOKUP($L401,Data_Validation!$A:$D,3,0)</f>
        <v>Service</v>
      </c>
      <c r="V401" s="153" t="str">
        <f>+VLOOKUP($L401,Data_Validation!$A:$D,4,0)</f>
        <v>Divers</v>
      </c>
      <c r="W401" s="153" t="str">
        <f>+VLOOKUP($L401,Data_Validation!$A:$E,5,0)</f>
        <v>$</v>
      </c>
      <c r="X401" s="153">
        <f>+VLOOKUP($L401,Data_Validation!$A:$F,6,0)</f>
        <v>0</v>
      </c>
    </row>
    <row r="402" spans="1:24" ht="15" customHeight="1">
      <c r="A402" s="1430" t="s">
        <v>1289</v>
      </c>
      <c r="B402" s="1431">
        <v>6456</v>
      </c>
      <c r="C402" s="1433">
        <v>4280.0600000000004</v>
      </c>
      <c r="D402" s="1433">
        <v>789.65</v>
      </c>
      <c r="E402" s="1433">
        <v>5069.71</v>
      </c>
      <c r="F402" s="1430" t="s">
        <v>398</v>
      </c>
      <c r="G402" s="1430" t="s">
        <v>2461</v>
      </c>
      <c r="H402" s="1233"/>
      <c r="I402" s="1240"/>
      <c r="J402" s="1240"/>
      <c r="K402" s="1240"/>
      <c r="L402" s="150">
        <f t="shared" si="18"/>
        <v>6456</v>
      </c>
      <c r="M402" s="151" t="str">
        <f t="shared" si="19"/>
        <v>FRAIS REPRESENTATION - SERVICE</v>
      </c>
      <c r="N402" s="152">
        <f>+IF(OR($Q402=Parametres!$G$2,$Q402=Parametres!$G$3),I402,C402)</f>
        <v>4280.0600000000004</v>
      </c>
      <c r="O402" s="152">
        <f>+IF(OR($Q402=Parametres!$G$2,$Q402=Parametres!$G$3),J402,D402)</f>
        <v>789.65</v>
      </c>
      <c r="P402" s="152">
        <f>+IF(OR($Q402=Parametres!$G$2,$Q402=Parametres!$G$3),K402,E402)</f>
        <v>5069.71</v>
      </c>
      <c r="Q402" s="151" t="str">
        <f t="shared" ref="Q402:S417" si="29">+F402</f>
        <v>7-Dépenses</v>
      </c>
      <c r="R402" s="150" t="str">
        <f t="shared" si="29"/>
        <v>6156</v>
      </c>
      <c r="S402" s="151">
        <f t="shared" si="29"/>
        <v>0</v>
      </c>
      <c r="T402" s="153">
        <f>+VLOOKUP($L402,Data_Validation!$A:$D,1,0)</f>
        <v>6456</v>
      </c>
      <c r="U402" s="153" t="str">
        <f>+VLOOKUP($L402,Data_Validation!$A:$D,3,0)</f>
        <v>Service</v>
      </c>
      <c r="V402" s="153" t="str">
        <f>+VLOOKUP($L402,Data_Validation!$A:$D,4,0)</f>
        <v>Frais de déplacement</v>
      </c>
      <c r="W402" s="153" t="str">
        <f>+VLOOKUP($L402,Data_Validation!$A:$E,5,0)</f>
        <v>$</v>
      </c>
      <c r="X402" s="153">
        <f>+VLOOKUP($L402,Data_Validation!$A:$F,6,0)</f>
        <v>0</v>
      </c>
    </row>
    <row r="403" spans="1:24" ht="15.75" customHeight="1">
      <c r="A403" s="1430" t="s">
        <v>1305</v>
      </c>
      <c r="B403" s="1431">
        <v>6459</v>
      </c>
      <c r="C403" s="1433">
        <v>22311.18</v>
      </c>
      <c r="D403" s="1433">
        <v>4111.24</v>
      </c>
      <c r="E403" s="1433">
        <v>26422.42</v>
      </c>
      <c r="F403" s="1430" t="s">
        <v>398</v>
      </c>
      <c r="G403" s="1430" t="s">
        <v>2653</v>
      </c>
      <c r="H403" s="1233"/>
      <c r="I403" s="1240"/>
      <c r="J403" s="1240"/>
      <c r="K403" s="1240"/>
      <c r="L403" s="150">
        <f t="shared" si="18"/>
        <v>6459</v>
      </c>
      <c r="M403" s="151" t="str">
        <f t="shared" si="19"/>
        <v>SERVICE EXTERIEUR</v>
      </c>
      <c r="N403" s="152">
        <f>+IF(OR($Q403=Parametres!$G$2,$Q403=Parametres!$G$3),I403,C403)</f>
        <v>22311.18</v>
      </c>
      <c r="O403" s="152">
        <f>+IF(OR($Q403=Parametres!$G$2,$Q403=Parametres!$G$3),J403,D403)</f>
        <v>4111.24</v>
      </c>
      <c r="P403" s="152">
        <f>+IF(OR($Q403=Parametres!$G$2,$Q403=Parametres!$G$3),K403,E403)</f>
        <v>26422.42</v>
      </c>
      <c r="Q403" s="151" t="str">
        <f t="shared" si="29"/>
        <v>7-Dépenses</v>
      </c>
      <c r="R403" s="150" t="str">
        <f t="shared" si="29"/>
        <v>6159</v>
      </c>
      <c r="S403" s="151">
        <f t="shared" si="29"/>
        <v>0</v>
      </c>
      <c r="T403" s="153">
        <f>+VLOOKUP($L403,Data_Validation!$A:$D,1,0)</f>
        <v>6459</v>
      </c>
      <c r="U403" s="153" t="str">
        <f>+VLOOKUP($L403,Data_Validation!$A:$D,3,0)</f>
        <v>Service</v>
      </c>
      <c r="V403" s="153" t="str">
        <f>+VLOOKUP($L403,Data_Validation!$A:$D,4,0)</f>
        <v>Services extérieurs</v>
      </c>
      <c r="W403" s="153" t="str">
        <f>+VLOOKUP($L403,Data_Validation!$A:$E,5,0)</f>
        <v>$</v>
      </c>
      <c r="X403" s="153">
        <f>+VLOOKUP($L403,Data_Validation!$A:$F,6,0)</f>
        <v>0</v>
      </c>
    </row>
    <row r="404" spans="1:24" ht="15" customHeight="1">
      <c r="A404" s="1430" t="s">
        <v>1330</v>
      </c>
      <c r="B404" s="1431">
        <v>6461</v>
      </c>
      <c r="C404" s="1433">
        <v>10545.48</v>
      </c>
      <c r="D404" s="1433">
        <v>1492.2</v>
      </c>
      <c r="E404" s="1433">
        <v>12037.68</v>
      </c>
      <c r="F404" s="1430" t="s">
        <v>398</v>
      </c>
      <c r="G404" s="1430" t="s">
        <v>2644</v>
      </c>
      <c r="H404" s="1233"/>
      <c r="I404" s="1240"/>
      <c r="J404" s="1240"/>
      <c r="K404" s="1240"/>
      <c r="L404" s="150">
        <f t="shared" si="18"/>
        <v>6461</v>
      </c>
      <c r="M404" s="151" t="str">
        <f t="shared" si="19"/>
        <v>DEPRECIATION EQUIP. &amp; FIXTURES</v>
      </c>
      <c r="N404" s="152">
        <f>+IF(OR($Q404=Parametres!$G$2,$Q404=Parametres!$G$3),I404,C404)</f>
        <v>10545.48</v>
      </c>
      <c r="O404" s="152">
        <f>+IF(OR($Q404=Parametres!$G$2,$Q404=Parametres!$G$3),J404,D404)</f>
        <v>1492.2</v>
      </c>
      <c r="P404" s="152">
        <f>+IF(OR($Q404=Parametres!$G$2,$Q404=Parametres!$G$3),K404,E404)</f>
        <v>12037.68</v>
      </c>
      <c r="Q404" s="151" t="str">
        <f t="shared" si="29"/>
        <v>7-Dépenses</v>
      </c>
      <c r="R404" s="150" t="str">
        <f t="shared" si="29"/>
        <v>6161</v>
      </c>
      <c r="S404" s="151">
        <f t="shared" si="29"/>
        <v>0</v>
      </c>
      <c r="T404" s="153">
        <f>+VLOOKUP($L404,Data_Validation!$A:$D,1,0)</f>
        <v>6461</v>
      </c>
      <c r="U404" s="153" t="str">
        <f>+VLOOKUP($L404,Data_Validation!$A:$D,3,0)</f>
        <v>Service</v>
      </c>
      <c r="V404" s="153" t="str">
        <f>+VLOOKUP($L404,Data_Validation!$A:$D,4,0)</f>
        <v>Amortissement</v>
      </c>
      <c r="W404" s="153" t="str">
        <f>+VLOOKUP($L404,Data_Validation!$A:$E,5,0)</f>
        <v>$</v>
      </c>
      <c r="X404" s="153">
        <f>+VLOOKUP($L404,Data_Validation!$A:$F,6,0)</f>
        <v>0</v>
      </c>
    </row>
    <row r="405" spans="1:24" ht="15" customHeight="1">
      <c r="A405" s="1430" t="s">
        <v>1165</v>
      </c>
      <c r="B405" s="1431">
        <v>6463</v>
      </c>
      <c r="C405" s="1433">
        <v>11126.99</v>
      </c>
      <c r="D405" s="1433">
        <v>1563.54</v>
      </c>
      <c r="E405" s="1433">
        <v>12690.53</v>
      </c>
      <c r="F405" s="1430" t="s">
        <v>398</v>
      </c>
      <c r="G405" s="1430" t="s">
        <v>2630</v>
      </c>
      <c r="H405" s="1233"/>
      <c r="I405" s="1240"/>
      <c r="J405" s="1240"/>
      <c r="K405" s="1240"/>
      <c r="L405" s="150">
        <f t="shared" si="18"/>
        <v>6463</v>
      </c>
      <c r="M405" s="151" t="str">
        <f t="shared" si="19"/>
        <v>REPARATION &amp; ENT. - EQUIP.</v>
      </c>
      <c r="N405" s="152">
        <f>+IF(OR($Q405=Parametres!$G$2,$Q405=Parametres!$G$3),I405,C405)</f>
        <v>11126.99</v>
      </c>
      <c r="O405" s="152">
        <f>+IF(OR($Q405=Parametres!$G$2,$Q405=Parametres!$G$3),J405,D405)</f>
        <v>1563.54</v>
      </c>
      <c r="P405" s="152">
        <f>+IF(OR($Q405=Parametres!$G$2,$Q405=Parametres!$G$3),K405,E405)</f>
        <v>12690.53</v>
      </c>
      <c r="Q405" s="151" t="str">
        <f t="shared" si="29"/>
        <v>7-Dépenses</v>
      </c>
      <c r="R405" s="150" t="str">
        <f t="shared" si="29"/>
        <v>6163</v>
      </c>
      <c r="S405" s="151">
        <f t="shared" si="29"/>
        <v>0</v>
      </c>
      <c r="T405" s="153">
        <f>+VLOOKUP($L405,Data_Validation!$A:$D,1,0)</f>
        <v>6463</v>
      </c>
      <c r="U405" s="153" t="str">
        <f>+VLOOKUP($L405,Data_Validation!$A:$D,3,0)</f>
        <v>Service</v>
      </c>
      <c r="V405" s="153" t="str">
        <f>+VLOOKUP($L405,Data_Validation!$A:$D,4,0)</f>
        <v>Réparation équipement</v>
      </c>
      <c r="W405" s="153" t="str">
        <f>+VLOOKUP($L405,Data_Validation!$A:$E,5,0)</f>
        <v>$</v>
      </c>
      <c r="X405" s="153">
        <f>+VLOOKUP($L405,Data_Validation!$A:$F,6,0)</f>
        <v>0</v>
      </c>
    </row>
    <row r="406" spans="1:24" ht="15" customHeight="1">
      <c r="A406" s="1430" t="s">
        <v>1308</v>
      </c>
      <c r="B406" s="1431">
        <v>6481</v>
      </c>
      <c r="C406" s="1433">
        <v>6274.39</v>
      </c>
      <c r="D406" s="1433">
        <v>831.58</v>
      </c>
      <c r="E406" s="1433">
        <v>7105.97</v>
      </c>
      <c r="F406" s="1430" t="s">
        <v>398</v>
      </c>
      <c r="G406" s="1430" t="s">
        <v>2595</v>
      </c>
      <c r="H406" s="1233"/>
      <c r="I406" s="1240"/>
      <c r="J406" s="1240"/>
      <c r="K406" s="1240"/>
      <c r="L406" s="150">
        <f t="shared" si="18"/>
        <v>6481</v>
      </c>
      <c r="M406" s="151" t="str">
        <f t="shared" si="19"/>
        <v>CHAUFFAGE,ELECTRICITE,EAU-SERVICE</v>
      </c>
      <c r="N406" s="152">
        <f>+IF(OR($Q406=Parametres!$G$2,$Q406=Parametres!$G$3),I406,C406)</f>
        <v>6274.39</v>
      </c>
      <c r="O406" s="152">
        <f>+IF(OR($Q406=Parametres!$G$2,$Q406=Parametres!$G$3),J406,D406)</f>
        <v>831.58</v>
      </c>
      <c r="P406" s="152">
        <f>+IF(OR($Q406=Parametres!$G$2,$Q406=Parametres!$G$3),K406,E406)</f>
        <v>7105.97</v>
      </c>
      <c r="Q406" s="151" t="str">
        <f t="shared" si="29"/>
        <v>7-Dépenses</v>
      </c>
      <c r="R406" s="150" t="str">
        <f t="shared" si="29"/>
        <v>6181</v>
      </c>
      <c r="S406" s="151">
        <f t="shared" si="29"/>
        <v>0</v>
      </c>
      <c r="T406" s="153">
        <f>+VLOOKUP($L406,Data_Validation!$A:$D,1,0)</f>
        <v>6481</v>
      </c>
      <c r="U406" s="153" t="str">
        <f>+VLOOKUP($L406,Data_Validation!$A:$D,3,0)</f>
        <v>Service</v>
      </c>
      <c r="V406" s="153" t="str">
        <f>+VLOOKUP($L406,Data_Validation!$A:$D,4,0)</f>
        <v>Chauffage, éclairage</v>
      </c>
      <c r="W406" s="153" t="str">
        <f>+VLOOKUP($L406,Data_Validation!$A:$E,5,0)</f>
        <v>$</v>
      </c>
      <c r="X406" s="153">
        <f>+VLOOKUP($L406,Data_Validation!$A:$F,6,0)</f>
        <v>0</v>
      </c>
    </row>
    <row r="407" spans="1:24" ht="15.75" customHeight="1">
      <c r="A407" s="1430" t="s">
        <v>1449</v>
      </c>
      <c r="B407" s="1431">
        <v>6482</v>
      </c>
      <c r="C407" s="1433">
        <v>62400</v>
      </c>
      <c r="D407" s="1433">
        <v>6240</v>
      </c>
      <c r="E407" s="1433">
        <v>68640</v>
      </c>
      <c r="F407" s="1430" t="s">
        <v>398</v>
      </c>
      <c r="G407" s="1430" t="s">
        <v>2700</v>
      </c>
      <c r="H407" s="1233"/>
      <c r="I407" s="1240"/>
      <c r="J407" s="1240"/>
      <c r="K407" s="1240"/>
      <c r="L407" s="150">
        <f t="shared" si="18"/>
        <v>6482</v>
      </c>
      <c r="M407" s="151" t="str">
        <f t="shared" si="19"/>
        <v>LOYER - SERVICE</v>
      </c>
      <c r="N407" s="152">
        <f>+IF(OR($Q407=Parametres!$G$2,$Q407=Parametres!$G$3),I407,C407)</f>
        <v>62400</v>
      </c>
      <c r="O407" s="152">
        <f>+IF(OR($Q407=Parametres!$G$2,$Q407=Parametres!$G$3),J407,D407)</f>
        <v>6240</v>
      </c>
      <c r="P407" s="152">
        <f>+IF(OR($Q407=Parametres!$G$2,$Q407=Parametres!$G$3),K407,E407)</f>
        <v>68640</v>
      </c>
      <c r="Q407" s="151" t="str">
        <f t="shared" si="29"/>
        <v>7-Dépenses</v>
      </c>
      <c r="R407" s="150" t="str">
        <f t="shared" si="29"/>
        <v>6182</v>
      </c>
      <c r="S407" s="151">
        <f t="shared" si="29"/>
        <v>0</v>
      </c>
      <c r="T407" s="153">
        <f>+VLOOKUP($L407,Data_Validation!$A:$D,1,0)</f>
        <v>6482</v>
      </c>
      <c r="U407" s="153" t="str">
        <f>+VLOOKUP($L407,Data_Validation!$A:$D,3,0)</f>
        <v>Service</v>
      </c>
      <c r="V407" s="153" t="str">
        <f>+VLOOKUP($L407,Data_Validation!$A:$D,4,0)</f>
        <v>Loyer</v>
      </c>
      <c r="W407" s="153" t="str">
        <f>+VLOOKUP($L407,Data_Validation!$A:$E,5,0)</f>
        <v>$</v>
      </c>
      <c r="X407" s="153">
        <f>+VLOOKUP($L407,Data_Validation!$A:$F,6,0)</f>
        <v>0</v>
      </c>
    </row>
    <row r="408" spans="1:24" ht="15" customHeight="1">
      <c r="A408" s="1430" t="s">
        <v>1344</v>
      </c>
      <c r="B408" s="1431">
        <v>6486</v>
      </c>
      <c r="C408" s="1433">
        <v>8899.5</v>
      </c>
      <c r="D408" s="1433">
        <v>889.95</v>
      </c>
      <c r="E408" s="1433">
        <v>9789.4500000000007</v>
      </c>
      <c r="F408" s="1430" t="s">
        <v>398</v>
      </c>
      <c r="G408" s="1430" t="s">
        <v>2585</v>
      </c>
      <c r="H408" s="1233"/>
      <c r="I408" s="1240"/>
      <c r="J408" s="1240"/>
      <c r="K408" s="1240"/>
      <c r="L408" s="150">
        <f t="shared" si="18"/>
        <v>6486</v>
      </c>
      <c r="M408" s="151" t="str">
        <f t="shared" si="19"/>
        <v>ASSURANCE BATISSE &amp; AMEL.-SERVICE</v>
      </c>
      <c r="N408" s="152">
        <f>+IF(OR($Q408=Parametres!$G$2,$Q408=Parametres!$G$3),I408,C408)</f>
        <v>8899.5</v>
      </c>
      <c r="O408" s="152">
        <f>+IF(OR($Q408=Parametres!$G$2,$Q408=Parametres!$G$3),J408,D408)</f>
        <v>889.95</v>
      </c>
      <c r="P408" s="152">
        <f>+IF(OR($Q408=Parametres!$G$2,$Q408=Parametres!$G$3),K408,E408)</f>
        <v>9789.4500000000007</v>
      </c>
      <c r="Q408" s="151" t="str">
        <f t="shared" si="29"/>
        <v>7-Dépenses</v>
      </c>
      <c r="R408" s="150" t="str">
        <f t="shared" si="29"/>
        <v>6186</v>
      </c>
      <c r="S408" s="151">
        <f t="shared" si="29"/>
        <v>0</v>
      </c>
      <c r="T408" s="153">
        <f>+VLOOKUP($L408,Data_Validation!$A:$D,1,0)</f>
        <v>6486</v>
      </c>
      <c r="U408" s="153" t="str">
        <f>+VLOOKUP($L408,Data_Validation!$A:$D,3,0)</f>
        <v>Service</v>
      </c>
      <c r="V408" s="153" t="str">
        <f>+VLOOKUP($L408,Data_Validation!$A:$D,4,0)</f>
        <v>Assurances</v>
      </c>
      <c r="W408" s="153" t="str">
        <f>+VLOOKUP($L408,Data_Validation!$A:$E,5,0)</f>
        <v>$</v>
      </c>
      <c r="X408" s="153">
        <f>+VLOOKUP($L408,Data_Validation!$A:$F,6,0)</f>
        <v>0</v>
      </c>
    </row>
    <row r="409" spans="1:24" ht="15" customHeight="1">
      <c r="A409" s="1430" t="s">
        <v>1337</v>
      </c>
      <c r="B409" s="1431">
        <v>6487</v>
      </c>
      <c r="C409" s="1433">
        <v>11544</v>
      </c>
      <c r="D409" s="1433">
        <v>1154.4000000000001</v>
      </c>
      <c r="E409" s="1433">
        <v>12698.4</v>
      </c>
      <c r="F409" s="1430" t="s">
        <v>398</v>
      </c>
      <c r="G409" s="1430" t="s">
        <v>2605</v>
      </c>
      <c r="H409" s="1233"/>
      <c r="I409" s="1240"/>
      <c r="J409" s="1240"/>
      <c r="K409" s="1240"/>
      <c r="L409" s="150">
        <f t="shared" si="18"/>
        <v>6487</v>
      </c>
      <c r="M409" s="151" t="str">
        <f t="shared" si="19"/>
        <v>TAXES FONCIERES - SERVICE</v>
      </c>
      <c r="N409" s="152">
        <f>+IF(OR($Q409=Parametres!$G$2,$Q409=Parametres!$G$3),I409,C409)</f>
        <v>11544</v>
      </c>
      <c r="O409" s="152">
        <f>+IF(OR($Q409=Parametres!$G$2,$Q409=Parametres!$G$3),J409,D409)</f>
        <v>1154.4000000000001</v>
      </c>
      <c r="P409" s="152">
        <f>+IF(OR($Q409=Parametres!$G$2,$Q409=Parametres!$G$3),K409,E409)</f>
        <v>12698.4</v>
      </c>
      <c r="Q409" s="151" t="str">
        <f t="shared" si="29"/>
        <v>7-Dépenses</v>
      </c>
      <c r="R409" s="150" t="str">
        <f t="shared" si="29"/>
        <v>6187</v>
      </c>
      <c r="S409" s="151">
        <f t="shared" si="29"/>
        <v>0</v>
      </c>
      <c r="T409" s="153">
        <f>+VLOOKUP($L409,Data_Validation!$A:$D,1,0)</f>
        <v>6487</v>
      </c>
      <c r="U409" s="153" t="str">
        <f>+VLOOKUP($L409,Data_Validation!$A:$D,3,0)</f>
        <v>Service</v>
      </c>
      <c r="V409" s="153" t="str">
        <f>+VLOOKUP($L409,Data_Validation!$A:$D,4,0)</f>
        <v>Taxes foncières</v>
      </c>
      <c r="W409" s="153" t="str">
        <f>+VLOOKUP($L409,Data_Validation!$A:$E,5,0)</f>
        <v>$</v>
      </c>
      <c r="X409" s="153">
        <f>+VLOOKUP($L409,Data_Validation!$A:$F,6,0)</f>
        <v>0</v>
      </c>
    </row>
    <row r="410" spans="1:24" ht="15" customHeight="1">
      <c r="A410" s="1430" t="s">
        <v>1271</v>
      </c>
      <c r="B410" s="1431">
        <v>6493</v>
      </c>
      <c r="C410" s="1433">
        <v>7680</v>
      </c>
      <c r="D410" s="1433">
        <v>768</v>
      </c>
      <c r="E410" s="1433">
        <v>8448</v>
      </c>
      <c r="F410" s="1430" t="s">
        <v>398</v>
      </c>
      <c r="G410" s="1430" t="s">
        <v>2588</v>
      </c>
      <c r="H410" s="1233"/>
      <c r="I410" s="1240"/>
      <c r="J410" s="1240"/>
      <c r="K410" s="1240"/>
      <c r="L410" s="150">
        <f t="shared" si="18"/>
        <v>6493</v>
      </c>
      <c r="M410" s="151" t="str">
        <f t="shared" si="19"/>
        <v>AUTRE TAXES-SERVICE</v>
      </c>
      <c r="N410" s="152">
        <f>+IF(OR($Q410=Parametres!$G$2,$Q410=Parametres!$G$3),I410,C410)</f>
        <v>7680</v>
      </c>
      <c r="O410" s="152">
        <f>+IF(OR($Q410=Parametres!$G$2,$Q410=Parametres!$G$3),J410,D410)</f>
        <v>768</v>
      </c>
      <c r="P410" s="152">
        <f>+IF(OR($Q410=Parametres!$G$2,$Q410=Parametres!$G$3),K410,E410)</f>
        <v>8448</v>
      </c>
      <c r="Q410" s="151" t="str">
        <f t="shared" si="29"/>
        <v>7-Dépenses</v>
      </c>
      <c r="R410" s="150" t="str">
        <f t="shared" si="29"/>
        <v>6193</v>
      </c>
      <c r="S410" s="151">
        <f t="shared" si="29"/>
        <v>0</v>
      </c>
      <c r="T410" s="153">
        <f>+VLOOKUP($L410,Data_Validation!$A:$D,1,0)</f>
        <v>6493</v>
      </c>
      <c r="U410" s="153" t="str">
        <f>+VLOOKUP($L410,Data_Validation!$A:$D,3,0)</f>
        <v>Service</v>
      </c>
      <c r="V410" s="153" t="str">
        <f>+VLOOKUP($L410,Data_Validation!$A:$D,4,0)</f>
        <v>Taxes d`affaires</v>
      </c>
      <c r="W410" s="153" t="str">
        <f>+VLOOKUP($L410,Data_Validation!$A:$E,5,0)</f>
        <v>$</v>
      </c>
      <c r="X410" s="153">
        <f>+VLOOKUP($L410,Data_Validation!$A:$F,6,0)</f>
        <v>0</v>
      </c>
    </row>
    <row r="411" spans="1:24" ht="15.75" customHeight="1">
      <c r="A411" s="1430" t="s">
        <v>1364</v>
      </c>
      <c r="B411" s="1431">
        <v>6494</v>
      </c>
      <c r="C411" s="1433">
        <v>16017.3</v>
      </c>
      <c r="D411" s="1433">
        <v>1492.1</v>
      </c>
      <c r="E411" s="1433">
        <v>17509.400000000001</v>
      </c>
      <c r="F411" s="1430" t="s">
        <v>398</v>
      </c>
      <c r="G411" s="1430" t="s">
        <v>2626</v>
      </c>
      <c r="H411" s="1233"/>
      <c r="I411" s="1240"/>
      <c r="J411" s="1240"/>
      <c r="K411" s="1240"/>
      <c r="L411" s="150">
        <f t="shared" si="18"/>
        <v>6494</v>
      </c>
      <c r="M411" s="151" t="str">
        <f t="shared" si="19"/>
        <v>FRAIS PROFESSIONNEL-SERVICE</v>
      </c>
      <c r="N411" s="152">
        <f>+IF(OR($Q411=Parametres!$G$2,$Q411=Parametres!$G$3),I411,C411)</f>
        <v>16017.3</v>
      </c>
      <c r="O411" s="152">
        <f>+IF(OR($Q411=Parametres!$G$2,$Q411=Parametres!$G$3),J411,D411)</f>
        <v>1492.1</v>
      </c>
      <c r="P411" s="152">
        <f>+IF(OR($Q411=Parametres!$G$2,$Q411=Parametres!$G$3),K411,E411)</f>
        <v>17509.400000000001</v>
      </c>
      <c r="Q411" s="151" t="str">
        <f t="shared" si="29"/>
        <v>7-Dépenses</v>
      </c>
      <c r="R411" s="150" t="str">
        <f t="shared" si="29"/>
        <v>6194</v>
      </c>
      <c r="S411" s="151">
        <f t="shared" si="29"/>
        <v>0</v>
      </c>
      <c r="T411" s="153">
        <f>+VLOOKUP($L411,Data_Validation!$A:$D,1,0)</f>
        <v>6494</v>
      </c>
      <c r="U411" s="153" t="str">
        <f>+VLOOKUP($L411,Data_Validation!$A:$D,3,0)</f>
        <v>Service</v>
      </c>
      <c r="V411" s="153" t="str">
        <f>+VLOOKUP($L411,Data_Validation!$A:$D,4,0)</f>
        <v>Honoraires</v>
      </c>
      <c r="W411" s="153" t="str">
        <f>+VLOOKUP($L411,Data_Validation!$A:$E,5,0)</f>
        <v>$</v>
      </c>
      <c r="X411" s="153">
        <f>+VLOOKUP($L411,Data_Validation!$A:$F,6,0)</f>
        <v>0</v>
      </c>
    </row>
    <row r="412" spans="1:24" ht="15" customHeight="1">
      <c r="A412" s="1430" t="s">
        <v>1898</v>
      </c>
      <c r="B412" s="1431">
        <v>6495</v>
      </c>
      <c r="C412" s="1433">
        <v>0</v>
      </c>
      <c r="D412" s="1433">
        <v>33.6</v>
      </c>
      <c r="E412" s="1433">
        <v>33.6</v>
      </c>
      <c r="F412" s="1430" t="s">
        <v>398</v>
      </c>
      <c r="G412" s="1430" t="s">
        <v>3613</v>
      </c>
      <c r="H412" s="1233"/>
      <c r="I412" s="1240"/>
      <c r="J412" s="1240"/>
      <c r="K412" s="1240"/>
      <c r="L412" s="150">
        <f t="shared" si="18"/>
        <v>6495</v>
      </c>
      <c r="M412" s="151" t="str">
        <f t="shared" si="19"/>
        <v>CONTRIBUTION - SERVICE</v>
      </c>
      <c r="N412" s="152">
        <f>+IF(OR($Q412=Parametres!$G$2,$Q412=Parametres!$G$3),I412,C412)</f>
        <v>0</v>
      </c>
      <c r="O412" s="152">
        <f>+IF(OR($Q412=Parametres!$G$2,$Q412=Parametres!$G$3),J412,D412)</f>
        <v>33.6</v>
      </c>
      <c r="P412" s="152">
        <f>+IF(OR($Q412=Parametres!$G$2,$Q412=Parametres!$G$3),K412,E412)</f>
        <v>33.6</v>
      </c>
      <c r="Q412" s="151" t="str">
        <f t="shared" si="29"/>
        <v>7-Dépenses</v>
      </c>
      <c r="R412" s="150" t="str">
        <f t="shared" si="29"/>
        <v>6195</v>
      </c>
      <c r="S412" s="151">
        <f t="shared" si="29"/>
        <v>0</v>
      </c>
      <c r="T412" s="153">
        <f>+VLOOKUP($L412,Data_Validation!$A:$D,1,0)</f>
        <v>6495</v>
      </c>
      <c r="U412" s="153" t="str">
        <f>+VLOOKUP($L412,Data_Validation!$A:$D,3,0)</f>
        <v>Service</v>
      </c>
      <c r="V412" s="153" t="str">
        <f>+VLOOKUP($L412,Data_Validation!$A:$D,4,0)</f>
        <v>Dons</v>
      </c>
      <c r="W412" s="153" t="str">
        <f>+VLOOKUP($L412,Data_Validation!$A:$E,5,0)</f>
        <v>$</v>
      </c>
      <c r="X412" s="153">
        <f>+VLOOKUP($L412,Data_Validation!$A:$F,6,0)</f>
        <v>0</v>
      </c>
    </row>
    <row r="413" spans="1:24" ht="15" customHeight="1">
      <c r="A413" s="1430" t="s">
        <v>396</v>
      </c>
      <c r="B413" s="1431">
        <v>6503</v>
      </c>
      <c r="C413" s="1433">
        <v>2599.81</v>
      </c>
      <c r="D413" s="1433">
        <v>878.57</v>
      </c>
      <c r="E413" s="1433">
        <v>3478.38</v>
      </c>
      <c r="F413" s="1430" t="s">
        <v>398</v>
      </c>
      <c r="G413" s="1430" t="s">
        <v>2458</v>
      </c>
      <c r="H413" s="1233"/>
      <c r="I413" s="1240"/>
      <c r="J413" s="1240"/>
      <c r="K413" s="1240"/>
      <c r="L413" s="150">
        <f t="shared" si="18"/>
        <v>6503</v>
      </c>
      <c r="M413" s="151" t="str">
        <f t="shared" si="19"/>
        <v>RELAT. A LA CLIENTELE &amp; AJUST.</v>
      </c>
      <c r="N413" s="152">
        <f>+IF(OR($Q413=Parametres!$G$2,$Q413=Parametres!$G$3),I413,C413)</f>
        <v>2599.81</v>
      </c>
      <c r="O413" s="152">
        <f>+IF(OR($Q413=Parametres!$G$2,$Q413=Parametres!$G$3),J413,D413)</f>
        <v>878.57</v>
      </c>
      <c r="P413" s="152">
        <f>+IF(OR($Q413=Parametres!$G$2,$Q413=Parametres!$G$3),K413,E413)</f>
        <v>3478.38</v>
      </c>
      <c r="Q413" s="151" t="str">
        <f t="shared" si="29"/>
        <v>7-Dépenses</v>
      </c>
      <c r="R413" s="150" t="str">
        <f t="shared" si="29"/>
        <v>6112</v>
      </c>
      <c r="S413" s="151">
        <f t="shared" si="29"/>
        <v>0</v>
      </c>
      <c r="T413" s="153">
        <f>+VLOOKUP($L413,Data_Validation!$A:$D,1,0)</f>
        <v>6503</v>
      </c>
      <c r="U413" s="153" t="str">
        <f>+VLOOKUP($L413,Data_Validation!$A:$D,3,0)</f>
        <v>Carrosserie</v>
      </c>
      <c r="V413" s="153" t="str">
        <f>+VLOOKUP($L413,Data_Validation!$A:$D,4,0)</f>
        <v>Service gratuit 2</v>
      </c>
      <c r="W413" s="153" t="str">
        <f>+VLOOKUP($L413,Data_Validation!$A:$E,5,0)</f>
        <v>$</v>
      </c>
      <c r="X413" s="153">
        <f>+VLOOKUP($L413,Data_Validation!$A:$F,6,0)</f>
        <v>0</v>
      </c>
    </row>
    <row r="414" spans="1:24" ht="15" customHeight="1">
      <c r="A414" s="1430" t="s">
        <v>1371</v>
      </c>
      <c r="B414" s="1431">
        <v>6514</v>
      </c>
      <c r="C414" s="1433">
        <v>163.4</v>
      </c>
      <c r="D414" s="1433">
        <v>0.05</v>
      </c>
      <c r="E414" s="1433">
        <v>163.44999999999999</v>
      </c>
      <c r="F414" s="1430" t="s">
        <v>398</v>
      </c>
      <c r="G414" s="1430" t="s">
        <v>2106</v>
      </c>
      <c r="H414" s="1233"/>
      <c r="I414" s="1240"/>
      <c r="J414" s="1240"/>
      <c r="K414" s="1240"/>
      <c r="L414" s="150">
        <f t="shared" si="18"/>
        <v>6514</v>
      </c>
      <c r="M414" s="151" t="str">
        <f t="shared" si="19"/>
        <v>PUBLICITE</v>
      </c>
      <c r="N414" s="152">
        <f>+IF(OR($Q414=Parametres!$G$2,$Q414=Parametres!$G$3),I414,C414)</f>
        <v>163.4</v>
      </c>
      <c r="O414" s="152">
        <f>+IF(OR($Q414=Parametres!$G$2,$Q414=Parametres!$G$3),J414,D414)</f>
        <v>0.05</v>
      </c>
      <c r="P414" s="152">
        <f>+IF(OR($Q414=Parametres!$G$2,$Q414=Parametres!$G$3),K414,E414)</f>
        <v>163.44999999999999</v>
      </c>
      <c r="Q414" s="151" t="str">
        <f t="shared" si="29"/>
        <v>7-Dépenses</v>
      </c>
      <c r="R414" s="150" t="str">
        <f t="shared" si="29"/>
        <v>6114</v>
      </c>
      <c r="S414" s="151">
        <f t="shared" si="29"/>
        <v>0</v>
      </c>
      <c r="T414" s="153">
        <f>+VLOOKUP($L414,Data_Validation!$A:$D,1,0)</f>
        <v>6514</v>
      </c>
      <c r="U414" s="153" t="str">
        <f>+VLOOKUP($L414,Data_Validation!$A:$D,3,0)</f>
        <v>Carrosserie</v>
      </c>
      <c r="V414" s="153" t="str">
        <f>+VLOOKUP($L414,Data_Validation!$A:$D,4,0)</f>
        <v>Publicité 2</v>
      </c>
      <c r="W414" s="153" t="str">
        <f>+VLOOKUP($L414,Data_Validation!$A:$E,5,0)</f>
        <v>$</v>
      </c>
      <c r="X414" s="153">
        <f>+VLOOKUP($L414,Data_Validation!$A:$F,6,0)</f>
        <v>0</v>
      </c>
    </row>
    <row r="415" spans="1:24" ht="15.75" customHeight="1">
      <c r="A415" s="1430" t="s">
        <v>1256</v>
      </c>
      <c r="B415" s="1431">
        <v>6521</v>
      </c>
      <c r="C415" s="1433">
        <v>3191.21</v>
      </c>
      <c r="D415" s="1433">
        <v>782.78</v>
      </c>
      <c r="E415" s="1433">
        <v>3973.99</v>
      </c>
      <c r="F415" s="1430" t="s">
        <v>398</v>
      </c>
      <c r="G415" s="1430" t="s">
        <v>2639</v>
      </c>
      <c r="H415" s="1233"/>
      <c r="I415" s="1240"/>
      <c r="J415" s="1240"/>
      <c r="K415" s="1240"/>
      <c r="L415" s="150">
        <f t="shared" si="18"/>
        <v>6521</v>
      </c>
      <c r="M415" s="151" t="str">
        <f t="shared" si="19"/>
        <v>SALAIRES - PROPRIETAIRES</v>
      </c>
      <c r="N415" s="152">
        <f>+IF(OR($Q415=Parametres!$G$2,$Q415=Parametres!$G$3),I415,C415)</f>
        <v>3191.21</v>
      </c>
      <c r="O415" s="152">
        <f>+IF(OR($Q415=Parametres!$G$2,$Q415=Parametres!$G$3),J415,D415)</f>
        <v>782.78</v>
      </c>
      <c r="P415" s="152">
        <f>+IF(OR($Q415=Parametres!$G$2,$Q415=Parametres!$G$3),K415,E415)</f>
        <v>3973.99</v>
      </c>
      <c r="Q415" s="151" t="str">
        <f t="shared" si="29"/>
        <v>7-Dépenses</v>
      </c>
      <c r="R415" s="150" t="str">
        <f t="shared" si="29"/>
        <v>6121</v>
      </c>
      <c r="S415" s="151">
        <f t="shared" si="29"/>
        <v>0</v>
      </c>
      <c r="T415" s="153">
        <f>+VLOOKUP($L415,Data_Validation!$A:$D,1,0)</f>
        <v>6521</v>
      </c>
      <c r="U415" s="153" t="str">
        <f>+VLOOKUP($L415,Data_Validation!$A:$D,3,0)</f>
        <v>Carrosserie</v>
      </c>
      <c r="V415" s="153" t="str">
        <f>+VLOOKUP($L415,Data_Validation!$A:$D,4,0)</f>
        <v>Salaires propriétaire</v>
      </c>
      <c r="W415" s="153" t="str">
        <f>+VLOOKUP($L415,Data_Validation!$A:$E,5,0)</f>
        <v>$</v>
      </c>
      <c r="X415" s="153">
        <f>+VLOOKUP($L415,Data_Validation!$A:$F,6,0)</f>
        <v>0</v>
      </c>
    </row>
    <row r="416" spans="1:24" ht="15" customHeight="1">
      <c r="A416" s="1430" t="s">
        <v>2615</v>
      </c>
      <c r="B416" s="1431">
        <v>6522</v>
      </c>
      <c r="C416" s="1433">
        <v>8491.2000000000007</v>
      </c>
      <c r="D416" s="1433">
        <v>809.12</v>
      </c>
      <c r="E416" s="1433">
        <v>9300.32</v>
      </c>
      <c r="F416" s="1430" t="s">
        <v>398</v>
      </c>
      <c r="G416" s="1430" t="s">
        <v>2617</v>
      </c>
      <c r="H416" s="1233"/>
      <c r="I416" s="1240"/>
      <c r="J416" s="1240"/>
      <c r="K416" s="1240"/>
      <c r="L416" s="150">
        <f t="shared" si="18"/>
        <v>6522</v>
      </c>
      <c r="M416" s="151" t="str">
        <f t="shared" si="19"/>
        <v>SAL SUPERVISION / GERANT</v>
      </c>
      <c r="N416" s="152">
        <f>+IF(OR($Q416=Parametres!$G$2,$Q416=Parametres!$G$3),I416,C416)</f>
        <v>8491.2000000000007</v>
      </c>
      <c r="O416" s="152">
        <f>+IF(OR($Q416=Parametres!$G$2,$Q416=Parametres!$G$3),J416,D416)</f>
        <v>809.12</v>
      </c>
      <c r="P416" s="152">
        <f>+IF(OR($Q416=Parametres!$G$2,$Q416=Parametres!$G$3),K416,E416)</f>
        <v>9300.32</v>
      </c>
      <c r="Q416" s="151" t="str">
        <f t="shared" si="29"/>
        <v>7-Dépenses</v>
      </c>
      <c r="R416" s="150" t="str">
        <f t="shared" si="29"/>
        <v>6122</v>
      </c>
      <c r="S416" s="151">
        <f t="shared" si="29"/>
        <v>0</v>
      </c>
      <c r="T416" s="153">
        <f>+VLOOKUP($L416,Data_Validation!$A:$D,1,0)</f>
        <v>6522</v>
      </c>
      <c r="U416" s="153" t="str">
        <f>+VLOOKUP($L416,Data_Validation!$A:$D,3,0)</f>
        <v>Carrosserie</v>
      </c>
      <c r="V416" s="153" t="str">
        <f>+VLOOKUP($L416,Data_Validation!$A:$D,4,0)</f>
        <v>Salaires cadres</v>
      </c>
      <c r="W416" s="153" t="str">
        <f>+VLOOKUP($L416,Data_Validation!$A:$E,5,0)</f>
        <v>$</v>
      </c>
      <c r="X416" s="153">
        <f>+VLOOKUP($L416,Data_Validation!$A:$F,6,0)</f>
        <v>0</v>
      </c>
    </row>
    <row r="417" spans="1:24" ht="15" customHeight="1">
      <c r="A417" s="1430" t="s">
        <v>1263</v>
      </c>
      <c r="B417" s="1431">
        <v>6523</v>
      </c>
      <c r="C417" s="1433">
        <v>5753.3</v>
      </c>
      <c r="D417" s="1433">
        <v>537.73</v>
      </c>
      <c r="E417" s="1433">
        <v>6291.03</v>
      </c>
      <c r="F417" s="1430" t="s">
        <v>398</v>
      </c>
      <c r="G417" s="1430" t="s">
        <v>2670</v>
      </c>
      <c r="H417" s="1233"/>
      <c r="I417" s="1240"/>
      <c r="J417" s="1240"/>
      <c r="K417" s="1240"/>
      <c r="L417" s="150">
        <f t="shared" si="18"/>
        <v>6523</v>
      </c>
      <c r="M417" s="151" t="str">
        <f t="shared" si="19"/>
        <v>SAL. &amp; RENUM. CLERICAL</v>
      </c>
      <c r="N417" s="152">
        <f>+IF(OR($Q417=Parametres!$G$2,$Q417=Parametres!$G$3),I417,C417)</f>
        <v>5753.3</v>
      </c>
      <c r="O417" s="152">
        <f>+IF(OR($Q417=Parametres!$G$2,$Q417=Parametres!$G$3),J417,D417)</f>
        <v>537.73</v>
      </c>
      <c r="P417" s="152">
        <f>+IF(OR($Q417=Parametres!$G$2,$Q417=Parametres!$G$3),K417,E417)</f>
        <v>6291.03</v>
      </c>
      <c r="Q417" s="151" t="str">
        <f t="shared" si="29"/>
        <v>7-Dépenses</v>
      </c>
      <c r="R417" s="150" t="str">
        <f t="shared" si="29"/>
        <v>6123</v>
      </c>
      <c r="S417" s="151">
        <f t="shared" si="29"/>
        <v>0</v>
      </c>
      <c r="T417" s="153">
        <f>+VLOOKUP($L417,Data_Validation!$A:$D,1,0)</f>
        <v>6523</v>
      </c>
      <c r="U417" s="153" t="str">
        <f>+VLOOKUP($L417,Data_Validation!$A:$D,3,0)</f>
        <v>Carrosserie</v>
      </c>
      <c r="V417" s="153" t="str">
        <f>+VLOOKUP($L417,Data_Validation!$A:$D,4,0)</f>
        <v>Salaires commis</v>
      </c>
      <c r="W417" s="153" t="str">
        <f>+VLOOKUP($L417,Data_Validation!$A:$E,5,0)</f>
        <v>$</v>
      </c>
      <c r="X417" s="153">
        <f>+VLOOKUP($L417,Data_Validation!$A:$F,6,0)</f>
        <v>0</v>
      </c>
    </row>
    <row r="418" spans="1:24" ht="15" customHeight="1">
      <c r="A418" s="1430" t="s">
        <v>1246</v>
      </c>
      <c r="B418" s="1431">
        <v>6524</v>
      </c>
      <c r="C418" s="1433">
        <v>35781.83</v>
      </c>
      <c r="D418" s="1433">
        <v>4022.37</v>
      </c>
      <c r="E418" s="1433">
        <v>39804.199999999997</v>
      </c>
      <c r="F418" s="1430" t="s">
        <v>398</v>
      </c>
      <c r="G418" s="1430" t="s">
        <v>2726</v>
      </c>
      <c r="H418" s="1233"/>
      <c r="I418" s="1240"/>
      <c r="J418" s="1240"/>
      <c r="K418" s="1240"/>
      <c r="L418" s="150">
        <f t="shared" si="18"/>
        <v>6524</v>
      </c>
      <c r="M418" s="151" t="str">
        <f t="shared" si="19"/>
        <v>SALAIRES &amp; RENUM. - AUTRES</v>
      </c>
      <c r="N418" s="152">
        <f>+IF(OR($Q418=Parametres!$G$2,$Q418=Parametres!$G$3),I418,C418)</f>
        <v>35781.83</v>
      </c>
      <c r="O418" s="152">
        <f>+IF(OR($Q418=Parametres!$G$2,$Q418=Parametres!$G$3),J418,D418)</f>
        <v>4022.37</v>
      </c>
      <c r="P418" s="152">
        <f>+IF(OR($Q418=Parametres!$G$2,$Q418=Parametres!$G$3),K418,E418)</f>
        <v>39804.199999999997</v>
      </c>
      <c r="Q418" s="151" t="str">
        <f t="shared" ref="Q418:S433" si="30">+F418</f>
        <v>7-Dépenses</v>
      </c>
      <c r="R418" s="150" t="str">
        <f t="shared" si="30"/>
        <v>6124</v>
      </c>
      <c r="S418" s="151">
        <f t="shared" si="30"/>
        <v>0</v>
      </c>
      <c r="T418" s="153">
        <f>+VLOOKUP($L418,Data_Validation!$A:$D,1,0)</f>
        <v>6524</v>
      </c>
      <c r="U418" s="153" t="str">
        <f>+VLOOKUP($L418,Data_Validation!$A:$D,3,0)</f>
        <v>Carrosserie</v>
      </c>
      <c r="V418" s="153" t="str">
        <f>+VLOOKUP($L418,Data_Validation!$A:$D,4,0)</f>
        <v>Salaires autres</v>
      </c>
      <c r="W418" s="153" t="str">
        <f>+VLOOKUP($L418,Data_Validation!$A:$E,5,0)</f>
        <v>$</v>
      </c>
      <c r="X418" s="153">
        <f>+VLOOKUP($L418,Data_Validation!$A:$F,6,0)</f>
        <v>0</v>
      </c>
    </row>
    <row r="419" spans="1:24" ht="15.75" customHeight="1">
      <c r="A419" s="1430" t="s">
        <v>1327</v>
      </c>
      <c r="B419" s="1431">
        <v>6525</v>
      </c>
      <c r="C419" s="1433">
        <v>23919.52</v>
      </c>
      <c r="D419" s="1433">
        <v>2538.4899999999998</v>
      </c>
      <c r="E419" s="1433">
        <v>26458.01</v>
      </c>
      <c r="F419" s="1430" t="s">
        <v>398</v>
      </c>
      <c r="G419" s="1430" t="s">
        <v>2712</v>
      </c>
      <c r="H419" s="1233"/>
      <c r="I419" s="1240"/>
      <c r="J419" s="1240"/>
      <c r="K419" s="1240"/>
      <c r="L419" s="150">
        <f t="shared" si="18"/>
        <v>6525</v>
      </c>
      <c r="M419" s="151" t="str">
        <f t="shared" si="19"/>
        <v>SALAIRE SPECIALISTES</v>
      </c>
      <c r="N419" s="152">
        <f>+IF(OR($Q419=Parametres!$G$2,$Q419=Parametres!$G$3),I419,C419)</f>
        <v>23919.52</v>
      </c>
      <c r="O419" s="152">
        <f>+IF(OR($Q419=Parametres!$G$2,$Q419=Parametres!$G$3),J419,D419)</f>
        <v>2538.4899999999998</v>
      </c>
      <c r="P419" s="152">
        <f>+IF(OR($Q419=Parametres!$G$2,$Q419=Parametres!$G$3),K419,E419)</f>
        <v>26458.01</v>
      </c>
      <c r="Q419" s="151" t="str">
        <f t="shared" si="30"/>
        <v>7-Dépenses</v>
      </c>
      <c r="R419" s="150" t="str">
        <f t="shared" si="30"/>
        <v>6125</v>
      </c>
      <c r="S419" s="151">
        <f t="shared" si="30"/>
        <v>0</v>
      </c>
      <c r="T419" s="153">
        <f>+VLOOKUP($L419,Data_Validation!$A:$D,1,0)</f>
        <v>6525</v>
      </c>
      <c r="U419" s="153" t="str">
        <f>+VLOOKUP($L419,Data_Validation!$A:$D,3,0)</f>
        <v>Carrosserie</v>
      </c>
      <c r="V419" s="153" t="str">
        <f>+VLOOKUP($L419,Data_Validation!$A:$D,4,0)</f>
        <v>Salaires spécialistes</v>
      </c>
      <c r="W419" s="153" t="str">
        <f>+VLOOKUP($L419,Data_Validation!$A:$E,5,0)</f>
        <v>$</v>
      </c>
      <c r="X419" s="153">
        <f>+VLOOKUP($L419,Data_Validation!$A:$F,6,0)</f>
        <v>0</v>
      </c>
    </row>
    <row r="420" spans="1:24" ht="15.75" customHeight="1">
      <c r="A420" s="1430" t="s">
        <v>1208</v>
      </c>
      <c r="B420" s="1431">
        <v>6529</v>
      </c>
      <c r="C420" s="1433">
        <v>4522.05</v>
      </c>
      <c r="D420" s="1433">
        <v>287.43</v>
      </c>
      <c r="E420" s="1433">
        <v>4809.4799999999996</v>
      </c>
      <c r="F420" s="1430" t="s">
        <v>398</v>
      </c>
      <c r="G420" s="1430" t="s">
        <v>2632</v>
      </c>
      <c r="H420" s="1233"/>
      <c r="I420" s="1240"/>
      <c r="J420" s="1240"/>
      <c r="K420" s="1240"/>
      <c r="L420" s="150">
        <f t="shared" si="18"/>
        <v>6529</v>
      </c>
      <c r="M420" s="151" t="str">
        <f t="shared" si="19"/>
        <v>ABS.,VACANCES &amp; SAL. JOURS FER</v>
      </c>
      <c r="N420" s="152">
        <f>+IF(OR($Q420=Parametres!$G$2,$Q420=Parametres!$G$3),I420,C420)</f>
        <v>4522.05</v>
      </c>
      <c r="O420" s="152">
        <f>+IF(OR($Q420=Parametres!$G$2,$Q420=Parametres!$G$3),J420,D420)</f>
        <v>287.43</v>
      </c>
      <c r="P420" s="152">
        <f>+IF(OR($Q420=Parametres!$G$2,$Q420=Parametres!$G$3),K420,E420)</f>
        <v>4809.4799999999996</v>
      </c>
      <c r="Q420" s="151" t="str">
        <f t="shared" si="30"/>
        <v>7-Dépenses</v>
      </c>
      <c r="R420" s="150" t="str">
        <f t="shared" si="30"/>
        <v>6129</v>
      </c>
      <c r="S420" s="151">
        <f t="shared" si="30"/>
        <v>0</v>
      </c>
      <c r="T420" s="153">
        <f>+VLOOKUP($L420,Data_Validation!$A:$D,1,0)</f>
        <v>6529</v>
      </c>
      <c r="U420" s="153" t="str">
        <f>+VLOOKUP($L420,Data_Validation!$A:$D,3,0)</f>
        <v>Carrosserie</v>
      </c>
      <c r="V420" s="153" t="str">
        <f>+VLOOKUP($L420,Data_Validation!$A:$D,4,0)</f>
        <v>Salaires en absences</v>
      </c>
      <c r="W420" s="153" t="str">
        <f>+VLOOKUP($L420,Data_Validation!$A:$E,5,0)</f>
        <v>$</v>
      </c>
      <c r="X420" s="153">
        <f>+VLOOKUP($L420,Data_Validation!$A:$F,6,0)</f>
        <v>0</v>
      </c>
    </row>
    <row r="421" spans="1:24" ht="15" customHeight="1">
      <c r="A421" s="1430" t="s">
        <v>1249</v>
      </c>
      <c r="B421" s="1431">
        <v>6531</v>
      </c>
      <c r="C421" s="1433">
        <v>1372.36</v>
      </c>
      <c r="D421" s="1433">
        <v>113.33</v>
      </c>
      <c r="E421" s="1433">
        <v>1485.69</v>
      </c>
      <c r="F421" s="1430" t="s">
        <v>398</v>
      </c>
      <c r="G421" s="1430" t="s">
        <v>2577</v>
      </c>
      <c r="H421" s="1233"/>
      <c r="I421" s="1240"/>
      <c r="J421" s="1240"/>
      <c r="K421" s="1240"/>
      <c r="L421" s="150">
        <f t="shared" si="18"/>
        <v>6531</v>
      </c>
      <c r="M421" s="151" t="str">
        <f t="shared" si="19"/>
        <v>CSST</v>
      </c>
      <c r="N421" s="152">
        <f>+IF(OR($Q421=Parametres!$G$2,$Q421=Parametres!$G$3),I421,C421)</f>
        <v>1372.36</v>
      </c>
      <c r="O421" s="152">
        <f>+IF(OR($Q421=Parametres!$G$2,$Q421=Parametres!$G$3),J421,D421)</f>
        <v>113.33</v>
      </c>
      <c r="P421" s="152">
        <f>+IF(OR($Q421=Parametres!$G$2,$Q421=Parametres!$G$3),K421,E421)</f>
        <v>1485.69</v>
      </c>
      <c r="Q421" s="151" t="str">
        <f t="shared" si="30"/>
        <v>7-Dépenses</v>
      </c>
      <c r="R421" s="150" t="str">
        <f t="shared" si="30"/>
        <v>6131</v>
      </c>
      <c r="S421" s="151">
        <f t="shared" si="30"/>
        <v>0</v>
      </c>
      <c r="T421" s="153">
        <f>+VLOOKUP($L421,Data_Validation!$A:$D,1,0)</f>
        <v>6531</v>
      </c>
      <c r="U421" s="153" t="str">
        <f>+VLOOKUP($L421,Data_Validation!$A:$D,3,0)</f>
        <v>Carrosserie</v>
      </c>
      <c r="V421" s="153" t="str">
        <f>+VLOOKUP($L421,Data_Validation!$A:$D,4,0)</f>
        <v>Csst</v>
      </c>
      <c r="W421" s="153" t="str">
        <f>+VLOOKUP($L421,Data_Validation!$A:$E,5,0)</f>
        <v>$</v>
      </c>
      <c r="X421" s="153">
        <f>+VLOOKUP($L421,Data_Validation!$A:$F,6,0)</f>
        <v>0</v>
      </c>
    </row>
    <row r="422" spans="1:24" ht="15" customHeight="1">
      <c r="A422" s="1430" t="s">
        <v>1280</v>
      </c>
      <c r="B422" s="1431">
        <v>6532</v>
      </c>
      <c r="C422" s="1433">
        <v>8234.08</v>
      </c>
      <c r="D422" s="1433">
        <v>679.96</v>
      </c>
      <c r="E422" s="1433">
        <v>8914.0400000000009</v>
      </c>
      <c r="F422" s="1430" t="s">
        <v>398</v>
      </c>
      <c r="G422" s="1430" t="s">
        <v>2676</v>
      </c>
      <c r="H422" s="1233"/>
      <c r="I422" s="1240"/>
      <c r="J422" s="1240"/>
      <c r="K422" s="1240"/>
      <c r="L422" s="150">
        <f t="shared" si="18"/>
        <v>6532</v>
      </c>
      <c r="M422" s="151" t="str">
        <f t="shared" si="19"/>
        <v>RRQ RAMQ AC</v>
      </c>
      <c r="N422" s="152">
        <f>+IF(OR($Q422=Parametres!$G$2,$Q422=Parametres!$G$3),I422,C422)</f>
        <v>8234.08</v>
      </c>
      <c r="O422" s="152">
        <f>+IF(OR($Q422=Parametres!$G$2,$Q422=Parametres!$G$3),J422,D422)</f>
        <v>679.96</v>
      </c>
      <c r="P422" s="152">
        <f>+IF(OR($Q422=Parametres!$G$2,$Q422=Parametres!$G$3),K422,E422)</f>
        <v>8914.0400000000009</v>
      </c>
      <c r="Q422" s="151" t="str">
        <f t="shared" si="30"/>
        <v>7-Dépenses</v>
      </c>
      <c r="R422" s="150" t="str">
        <f t="shared" si="30"/>
        <v>6132</v>
      </c>
      <c r="S422" s="151">
        <f t="shared" si="30"/>
        <v>0</v>
      </c>
      <c r="T422" s="153">
        <f>+VLOOKUP($L422,Data_Validation!$A:$D,1,0)</f>
        <v>6532</v>
      </c>
      <c r="U422" s="153" t="str">
        <f>+VLOOKUP($L422,Data_Validation!$A:$D,3,0)</f>
        <v>Carrosserie</v>
      </c>
      <c r="V422" s="153" t="str">
        <f>+VLOOKUP($L422,Data_Validation!$A:$D,4,0)</f>
        <v>Déduction à la source</v>
      </c>
      <c r="W422" s="153" t="str">
        <f>+VLOOKUP($L422,Data_Validation!$A:$E,5,0)</f>
        <v>$</v>
      </c>
      <c r="X422" s="153">
        <f>+VLOOKUP($L422,Data_Validation!$A:$F,6,0)</f>
        <v>0</v>
      </c>
    </row>
    <row r="423" spans="1:24" ht="15" customHeight="1">
      <c r="A423" s="1430" t="s">
        <v>1302</v>
      </c>
      <c r="B423" s="1431">
        <v>6539</v>
      </c>
      <c r="C423" s="1433">
        <v>5901.09</v>
      </c>
      <c r="D423" s="1433">
        <v>487.31</v>
      </c>
      <c r="E423" s="1433">
        <v>6388.4</v>
      </c>
      <c r="F423" s="1430" t="s">
        <v>398</v>
      </c>
      <c r="G423" s="1430" t="s">
        <v>2685</v>
      </c>
      <c r="H423" s="1233"/>
      <c r="I423" s="1240"/>
      <c r="J423" s="1240"/>
      <c r="K423" s="1240"/>
      <c r="L423" s="150">
        <f t="shared" si="18"/>
        <v>6539</v>
      </c>
      <c r="M423" s="151" t="str">
        <f t="shared" si="19"/>
        <v>ASSURANCE GROUPE</v>
      </c>
      <c r="N423" s="152">
        <f>+IF(OR($Q423=Parametres!$G$2,$Q423=Parametres!$G$3),I423,C423)</f>
        <v>5901.09</v>
      </c>
      <c r="O423" s="152">
        <f>+IF(OR($Q423=Parametres!$G$2,$Q423=Parametres!$G$3),J423,D423)</f>
        <v>487.31</v>
      </c>
      <c r="P423" s="152">
        <f>+IF(OR($Q423=Parametres!$G$2,$Q423=Parametres!$G$3),K423,E423)</f>
        <v>6388.4</v>
      </c>
      <c r="Q423" s="151" t="str">
        <f t="shared" si="30"/>
        <v>7-Dépenses</v>
      </c>
      <c r="R423" s="150" t="str">
        <f t="shared" si="30"/>
        <v>6139</v>
      </c>
      <c r="S423" s="151">
        <f t="shared" si="30"/>
        <v>0</v>
      </c>
      <c r="T423" s="153">
        <f>+VLOOKUP($L423,Data_Validation!$A:$D,1,0)</f>
        <v>6539</v>
      </c>
      <c r="U423" s="153" t="str">
        <f>+VLOOKUP($L423,Data_Validation!$A:$D,3,0)</f>
        <v>Carrosserie</v>
      </c>
      <c r="V423" s="153" t="str">
        <f>+VLOOKUP($L423,Data_Validation!$A:$D,4,0)</f>
        <v>Bénéfices marginaux</v>
      </c>
      <c r="W423" s="153" t="str">
        <f>+VLOOKUP($L423,Data_Validation!$A:$E,5,0)</f>
        <v>$</v>
      </c>
      <c r="X423" s="153">
        <f>+VLOOKUP($L423,Data_Validation!$A:$F,6,0)</f>
        <v>0</v>
      </c>
    </row>
    <row r="424" spans="1:24" ht="15" customHeight="1">
      <c r="A424" s="1430" t="s">
        <v>1154</v>
      </c>
      <c r="B424" s="1431">
        <v>6542</v>
      </c>
      <c r="C424" s="1433">
        <v>191.35</v>
      </c>
      <c r="D424" s="1433">
        <v>4.55</v>
      </c>
      <c r="E424" s="1433">
        <v>195.9</v>
      </c>
      <c r="F424" s="1430" t="s">
        <v>398</v>
      </c>
      <c r="G424" s="1430" t="s">
        <v>2554</v>
      </c>
      <c r="H424" s="1233"/>
      <c r="I424" s="1240"/>
      <c r="J424" s="1240"/>
      <c r="K424" s="1240"/>
      <c r="L424" s="150">
        <f t="shared" si="18"/>
        <v>6542</v>
      </c>
      <c r="M424" s="151" t="str">
        <f t="shared" si="19"/>
        <v>FOURNITURES &amp; PETITS OUTILS</v>
      </c>
      <c r="N424" s="152">
        <f>+IF(OR($Q424=Parametres!$G$2,$Q424=Parametres!$G$3),I424,C424)</f>
        <v>191.35</v>
      </c>
      <c r="O424" s="152">
        <f>+IF(OR($Q424=Parametres!$G$2,$Q424=Parametres!$G$3),J424,D424)</f>
        <v>4.55</v>
      </c>
      <c r="P424" s="152">
        <f>+IF(OR($Q424=Parametres!$G$2,$Q424=Parametres!$G$3),K424,E424)</f>
        <v>195.9</v>
      </c>
      <c r="Q424" s="151" t="str">
        <f t="shared" si="30"/>
        <v>7-Dépenses</v>
      </c>
      <c r="R424" s="150" t="str">
        <f t="shared" si="30"/>
        <v>6142</v>
      </c>
      <c r="S424" s="151">
        <f t="shared" si="30"/>
        <v>0</v>
      </c>
      <c r="T424" s="153">
        <f>+VLOOKUP($L424,Data_Validation!$A:$D,1,0)</f>
        <v>6542</v>
      </c>
      <c r="U424" s="153" t="str">
        <f>+VLOOKUP($L424,Data_Validation!$A:$D,3,0)</f>
        <v>Carrosserie</v>
      </c>
      <c r="V424" s="153" t="str">
        <f>+VLOOKUP($L424,Data_Validation!$A:$D,4,0)</f>
        <v>Fournitures autres</v>
      </c>
      <c r="W424" s="153" t="str">
        <f>+VLOOKUP($L424,Data_Validation!$A:$E,5,0)</f>
        <v>$</v>
      </c>
      <c r="X424" s="153">
        <f>+VLOOKUP($L424,Data_Validation!$A:$F,6,0)</f>
        <v>0</v>
      </c>
    </row>
    <row r="425" spans="1:24" ht="15.75" customHeight="1">
      <c r="A425" s="1430" t="s">
        <v>931</v>
      </c>
      <c r="B425" s="1431">
        <v>6544</v>
      </c>
      <c r="C425" s="1433">
        <v>132</v>
      </c>
      <c r="D425" s="1433">
        <v>6.2</v>
      </c>
      <c r="E425" s="1433">
        <v>138.19999999999999</v>
      </c>
      <c r="F425" s="1430" t="s">
        <v>398</v>
      </c>
      <c r="G425" s="1430" t="s">
        <v>2552</v>
      </c>
      <c r="H425" s="1233"/>
      <c r="I425" s="1240"/>
      <c r="J425" s="1240"/>
      <c r="K425" s="1240"/>
      <c r="L425" s="150">
        <f t="shared" si="18"/>
        <v>6544</v>
      </c>
      <c r="M425" s="151" t="str">
        <f t="shared" si="19"/>
        <v>FORMATION</v>
      </c>
      <c r="N425" s="152">
        <f>+IF(OR($Q425=Parametres!$G$2,$Q425=Parametres!$G$3),I425,C425)</f>
        <v>132</v>
      </c>
      <c r="O425" s="152">
        <f>+IF(OR($Q425=Parametres!$G$2,$Q425=Parametres!$G$3),J425,D425)</f>
        <v>6.2</v>
      </c>
      <c r="P425" s="152">
        <f>+IF(OR($Q425=Parametres!$G$2,$Q425=Parametres!$G$3),K425,E425)</f>
        <v>138.19999999999999</v>
      </c>
      <c r="Q425" s="151" t="str">
        <f t="shared" si="30"/>
        <v>7-Dépenses</v>
      </c>
      <c r="R425" s="150" t="str">
        <f t="shared" si="30"/>
        <v>6144</v>
      </c>
      <c r="S425" s="151">
        <f t="shared" si="30"/>
        <v>0</v>
      </c>
      <c r="T425" s="153">
        <f>+VLOOKUP($L425,Data_Validation!$A:$D,1,0)</f>
        <v>6544</v>
      </c>
      <c r="U425" s="153" t="str">
        <f>+VLOOKUP($L425,Data_Validation!$A:$D,3,0)</f>
        <v>Carrosserie</v>
      </c>
      <c r="V425" s="153" t="str">
        <f>+VLOOKUP($L425,Data_Validation!$A:$D,4,0)</f>
        <v>Formation</v>
      </c>
      <c r="W425" s="153" t="str">
        <f>+VLOOKUP($L425,Data_Validation!$A:$E,5,0)</f>
        <v>$</v>
      </c>
      <c r="X425" s="153">
        <f>+VLOOKUP($L425,Data_Validation!$A:$F,6,0)</f>
        <v>0</v>
      </c>
    </row>
    <row r="426" spans="1:24" ht="15" customHeight="1">
      <c r="A426" s="1430" t="s">
        <v>1183</v>
      </c>
      <c r="B426" s="1431">
        <v>6545</v>
      </c>
      <c r="C426" s="1433">
        <v>5279.25</v>
      </c>
      <c r="D426" s="1433">
        <v>590.28</v>
      </c>
      <c r="E426" s="1433">
        <v>5869.53</v>
      </c>
      <c r="F426" s="1430" t="s">
        <v>398</v>
      </c>
      <c r="G426" s="1430" t="s">
        <v>2623</v>
      </c>
      <c r="H426" s="1233"/>
      <c r="I426" s="1240"/>
      <c r="J426" s="1240"/>
      <c r="K426" s="1240"/>
      <c r="L426" s="150">
        <f t="shared" si="18"/>
        <v>6545</v>
      </c>
      <c r="M426" s="151" t="str">
        <f t="shared" si="19"/>
        <v>VEHICULE DE COMPAGNIE - DEPENS</v>
      </c>
      <c r="N426" s="152">
        <f>+IF(OR($Q426=Parametres!$G$2,$Q426=Parametres!$G$3),I426,C426)</f>
        <v>5279.25</v>
      </c>
      <c r="O426" s="152">
        <f>+IF(OR($Q426=Parametres!$G$2,$Q426=Parametres!$G$3),J426,D426)</f>
        <v>590.28</v>
      </c>
      <c r="P426" s="152">
        <f>+IF(OR($Q426=Parametres!$G$2,$Q426=Parametres!$G$3),K426,E426)</f>
        <v>5869.53</v>
      </c>
      <c r="Q426" s="151" t="str">
        <f t="shared" si="30"/>
        <v>7-Dépenses</v>
      </c>
      <c r="R426" s="150" t="str">
        <f t="shared" si="30"/>
        <v>6145</v>
      </c>
      <c r="S426" s="151">
        <f t="shared" si="30"/>
        <v>0</v>
      </c>
      <c r="T426" s="153">
        <f>+VLOOKUP($L426,Data_Validation!$A:$D,1,0)</f>
        <v>6545</v>
      </c>
      <c r="U426" s="153" t="str">
        <f>+VLOOKUP($L426,Data_Validation!$A:$D,3,0)</f>
        <v>Carrosserie</v>
      </c>
      <c r="V426" s="153" t="str">
        <f>+VLOOKUP($L426,Data_Validation!$A:$D,4,0)</f>
        <v>Frais véhicules de cie</v>
      </c>
      <c r="W426" s="153" t="str">
        <f>+VLOOKUP($L426,Data_Validation!$A:$E,5,0)</f>
        <v>$</v>
      </c>
      <c r="X426" s="153">
        <f>+VLOOKUP($L426,Data_Validation!$A:$F,6,0)</f>
        <v>0</v>
      </c>
    </row>
    <row r="427" spans="1:24" ht="15" customHeight="1">
      <c r="A427" s="1430" t="s">
        <v>1177</v>
      </c>
      <c r="B427" s="1431">
        <v>6547</v>
      </c>
      <c r="C427" s="1433">
        <v>378.22</v>
      </c>
      <c r="D427" s="1433">
        <v>43.13</v>
      </c>
      <c r="E427" s="1433">
        <v>421.35</v>
      </c>
      <c r="F427" s="1430" t="s">
        <v>398</v>
      </c>
      <c r="G427" s="1430" t="s">
        <v>2572</v>
      </c>
      <c r="H427" s="1233"/>
      <c r="I427" s="1240"/>
      <c r="J427" s="1240"/>
      <c r="K427" s="1240"/>
      <c r="L427" s="150">
        <f t="shared" si="18"/>
        <v>6547</v>
      </c>
      <c r="M427" s="151" t="str">
        <f t="shared" si="19"/>
        <v>FRET/EXPRESS/TRANS. PAR CAMION</v>
      </c>
      <c r="N427" s="152">
        <f>+IF(OR($Q427=Parametres!$G$2,$Q427=Parametres!$G$3),I427,C427)</f>
        <v>378.22</v>
      </c>
      <c r="O427" s="152">
        <f>+IF(OR($Q427=Parametres!$G$2,$Q427=Parametres!$G$3),J427,D427)</f>
        <v>43.13</v>
      </c>
      <c r="P427" s="152">
        <f>+IF(OR($Q427=Parametres!$G$2,$Q427=Parametres!$G$3),K427,E427)</f>
        <v>421.35</v>
      </c>
      <c r="Q427" s="151" t="str">
        <f t="shared" si="30"/>
        <v>7-Dépenses</v>
      </c>
      <c r="R427" s="150" t="str">
        <f t="shared" si="30"/>
        <v>6147</v>
      </c>
      <c r="S427" s="151">
        <f t="shared" si="30"/>
        <v>0</v>
      </c>
      <c r="T427" s="153">
        <f>+VLOOKUP($L427,Data_Validation!$A:$D,1,0)</f>
        <v>6547</v>
      </c>
      <c r="U427" s="153" t="str">
        <f>+VLOOKUP($L427,Data_Validation!$A:$D,3,0)</f>
        <v>Carrosserie</v>
      </c>
      <c r="V427" s="153" t="str">
        <f>+VLOOKUP($L427,Data_Validation!$A:$D,4,0)</f>
        <v>Frais postaux</v>
      </c>
      <c r="W427" s="153" t="str">
        <f>+VLOOKUP($L427,Data_Validation!$A:$E,5,0)</f>
        <v>$</v>
      </c>
      <c r="X427" s="153">
        <f>+VLOOKUP($L427,Data_Validation!$A:$F,6,0)</f>
        <v>0</v>
      </c>
    </row>
    <row r="428" spans="1:24" ht="15" customHeight="1">
      <c r="A428" s="1430" t="s">
        <v>1283</v>
      </c>
      <c r="B428" s="1431">
        <v>6551</v>
      </c>
      <c r="C428" s="1433">
        <v>13574.01</v>
      </c>
      <c r="D428" s="1433">
        <v>1318.02</v>
      </c>
      <c r="E428" s="1433">
        <v>14892.03</v>
      </c>
      <c r="F428" s="1430" t="s">
        <v>398</v>
      </c>
      <c r="G428" s="1430" t="s">
        <v>2693</v>
      </c>
      <c r="H428" s="1233"/>
      <c r="I428" s="1240"/>
      <c r="J428" s="1240"/>
      <c r="K428" s="1240"/>
      <c r="L428" s="150">
        <f t="shared" si="18"/>
        <v>6551</v>
      </c>
      <c r="M428" s="151" t="str">
        <f t="shared" si="19"/>
        <v>DEP. DU TRAITEMENT DES DONNEES</v>
      </c>
      <c r="N428" s="152">
        <f>+IF(OR($Q428=Parametres!$G$2,$Q428=Parametres!$G$3),I428,C428)</f>
        <v>13574.01</v>
      </c>
      <c r="O428" s="152">
        <f>+IF(OR($Q428=Parametres!$G$2,$Q428=Parametres!$G$3),J428,D428)</f>
        <v>1318.02</v>
      </c>
      <c r="P428" s="152">
        <f>+IF(OR($Q428=Parametres!$G$2,$Q428=Parametres!$G$3),K428,E428)</f>
        <v>14892.03</v>
      </c>
      <c r="Q428" s="151" t="str">
        <f t="shared" si="30"/>
        <v>7-Dépenses</v>
      </c>
      <c r="R428" s="150" t="str">
        <f t="shared" si="30"/>
        <v>6151</v>
      </c>
      <c r="S428" s="151">
        <f t="shared" si="30"/>
        <v>0</v>
      </c>
      <c r="T428" s="153">
        <f>+VLOOKUP($L428,Data_Validation!$A:$D,1,0)</f>
        <v>6551</v>
      </c>
      <c r="U428" s="153" t="str">
        <f>+VLOOKUP($L428,Data_Validation!$A:$D,3,0)</f>
        <v>Carrosserie</v>
      </c>
      <c r="V428" s="153" t="str">
        <f>+VLOOKUP($L428,Data_Validation!$A:$D,4,0)</f>
        <v>Informatique</v>
      </c>
      <c r="W428" s="153" t="str">
        <f>+VLOOKUP($L428,Data_Validation!$A:$E,5,0)</f>
        <v>$</v>
      </c>
      <c r="X428" s="153">
        <f>+VLOOKUP($L428,Data_Validation!$A:$F,6,0)</f>
        <v>0</v>
      </c>
    </row>
    <row r="429" spans="1:24" ht="15" customHeight="1">
      <c r="A429" s="1430" t="s">
        <v>1203</v>
      </c>
      <c r="B429" s="1431">
        <v>6552</v>
      </c>
      <c r="C429" s="1433">
        <v>1140.45</v>
      </c>
      <c r="D429" s="1433">
        <v>76.84</v>
      </c>
      <c r="E429" s="1433">
        <v>1217.29</v>
      </c>
      <c r="F429" s="1430" t="s">
        <v>398</v>
      </c>
      <c r="G429" s="1430" t="s">
        <v>2579</v>
      </c>
      <c r="H429" s="1233"/>
      <c r="I429" s="1240"/>
      <c r="J429" s="1240"/>
      <c r="K429" s="1240"/>
      <c r="L429" s="150">
        <f t="shared" si="18"/>
        <v>6552</v>
      </c>
      <c r="M429" s="151" t="str">
        <f t="shared" si="19"/>
        <v>PAPETERIE</v>
      </c>
      <c r="N429" s="152">
        <f>+IF(OR($Q429=Parametres!$G$2,$Q429=Parametres!$G$3),I429,C429)</f>
        <v>1140.45</v>
      </c>
      <c r="O429" s="152">
        <f>+IF(OR($Q429=Parametres!$G$2,$Q429=Parametres!$G$3),J429,D429)</f>
        <v>76.84</v>
      </c>
      <c r="P429" s="152">
        <f>+IF(OR($Q429=Parametres!$G$2,$Q429=Parametres!$G$3),K429,E429)</f>
        <v>1217.29</v>
      </c>
      <c r="Q429" s="151" t="str">
        <f t="shared" si="30"/>
        <v>7-Dépenses</v>
      </c>
      <c r="R429" s="150" t="str">
        <f t="shared" si="30"/>
        <v>6152</v>
      </c>
      <c r="S429" s="151">
        <f t="shared" si="30"/>
        <v>0</v>
      </c>
      <c r="T429" s="153">
        <f>+VLOOKUP($L429,Data_Validation!$A:$D,1,0)</f>
        <v>6552</v>
      </c>
      <c r="U429" s="153" t="str">
        <f>+VLOOKUP($L429,Data_Validation!$A:$D,3,0)</f>
        <v>Carrosserie</v>
      </c>
      <c r="V429" s="153" t="str">
        <f>+VLOOKUP($L429,Data_Validation!$A:$D,4,0)</f>
        <v>Papeterie</v>
      </c>
      <c r="W429" s="153" t="str">
        <f>+VLOOKUP($L429,Data_Validation!$A:$E,5,0)</f>
        <v>$</v>
      </c>
      <c r="X429" s="153">
        <f>+VLOOKUP($L429,Data_Validation!$A:$F,6,0)</f>
        <v>0</v>
      </c>
    </row>
    <row r="430" spans="1:24" ht="15" customHeight="1">
      <c r="A430" s="1430" t="s">
        <v>1151</v>
      </c>
      <c r="B430" s="1431">
        <v>6553</v>
      </c>
      <c r="C430" s="1433">
        <v>631.34</v>
      </c>
      <c r="D430" s="1433">
        <v>27.01</v>
      </c>
      <c r="E430" s="1433">
        <v>658.35</v>
      </c>
      <c r="F430" s="1430" t="s">
        <v>398</v>
      </c>
      <c r="G430" s="1430" t="s">
        <v>2583</v>
      </c>
      <c r="H430" s="1233"/>
      <c r="I430" s="1240"/>
      <c r="J430" s="1240"/>
      <c r="K430" s="1240"/>
      <c r="L430" s="150">
        <f t="shared" si="18"/>
        <v>6553</v>
      </c>
      <c r="M430" s="151" t="str">
        <f t="shared" si="19"/>
        <v>TELEPHONE ET TELEX</v>
      </c>
      <c r="N430" s="152">
        <f>+IF(OR($Q430=Parametres!$G$2,$Q430=Parametres!$G$3),I430,C430)</f>
        <v>631.34</v>
      </c>
      <c r="O430" s="152">
        <f>+IF(OR($Q430=Parametres!$G$2,$Q430=Parametres!$G$3),J430,D430)</f>
        <v>27.01</v>
      </c>
      <c r="P430" s="152">
        <f>+IF(OR($Q430=Parametres!$G$2,$Q430=Parametres!$G$3),K430,E430)</f>
        <v>658.35</v>
      </c>
      <c r="Q430" s="151" t="str">
        <f t="shared" si="30"/>
        <v>7-Dépenses</v>
      </c>
      <c r="R430" s="150" t="str">
        <f t="shared" si="30"/>
        <v>6153</v>
      </c>
      <c r="S430" s="151">
        <f t="shared" si="30"/>
        <v>0</v>
      </c>
      <c r="T430" s="153">
        <f>+VLOOKUP($L430,Data_Validation!$A:$D,1,0)</f>
        <v>6553</v>
      </c>
      <c r="U430" s="153" t="str">
        <f>+VLOOKUP($L430,Data_Validation!$A:$D,3,0)</f>
        <v>Carrosserie</v>
      </c>
      <c r="V430" s="153" t="str">
        <f>+VLOOKUP($L430,Data_Validation!$A:$D,4,0)</f>
        <v>Téléphone</v>
      </c>
      <c r="W430" s="153" t="str">
        <f>+VLOOKUP($L430,Data_Validation!$A:$E,5,0)</f>
        <v>$</v>
      </c>
      <c r="X430" s="153">
        <f>+VLOOKUP($L430,Data_Validation!$A:$F,6,0)</f>
        <v>0</v>
      </c>
    </row>
    <row r="431" spans="1:24" ht="15.75" customHeight="1">
      <c r="A431" s="1430" t="s">
        <v>1234</v>
      </c>
      <c r="B431" s="1431">
        <v>6555</v>
      </c>
      <c r="C431" s="1433">
        <v>1720.38</v>
      </c>
      <c r="D431" s="1433">
        <v>164.52</v>
      </c>
      <c r="E431" s="1433">
        <v>1884.9</v>
      </c>
      <c r="F431" s="1430" t="s">
        <v>398</v>
      </c>
      <c r="G431" s="1430" t="s">
        <v>2628</v>
      </c>
      <c r="H431" s="1233"/>
      <c r="I431" s="1240"/>
      <c r="J431" s="1240"/>
      <c r="K431" s="1240"/>
      <c r="L431" s="150">
        <f t="shared" si="18"/>
        <v>6555</v>
      </c>
      <c r="M431" s="151" t="str">
        <f t="shared" si="19"/>
        <v>DEPENSES DIVERS</v>
      </c>
      <c r="N431" s="152">
        <f>+IF(OR($Q431=Parametres!$G$2,$Q431=Parametres!$G$3),I431,C431)</f>
        <v>1720.38</v>
      </c>
      <c r="O431" s="152">
        <f>+IF(OR($Q431=Parametres!$G$2,$Q431=Parametres!$G$3),J431,D431)</f>
        <v>164.52</v>
      </c>
      <c r="P431" s="152">
        <f>+IF(OR($Q431=Parametres!$G$2,$Q431=Parametres!$G$3),K431,E431)</f>
        <v>1884.9</v>
      </c>
      <c r="Q431" s="151" t="str">
        <f t="shared" si="30"/>
        <v>7-Dépenses</v>
      </c>
      <c r="R431" s="150" t="str">
        <f t="shared" si="30"/>
        <v>6155</v>
      </c>
      <c r="S431" s="151">
        <f t="shared" si="30"/>
        <v>0</v>
      </c>
      <c r="T431" s="153">
        <f>+VLOOKUP($L431,Data_Validation!$A:$D,1,0)</f>
        <v>6555</v>
      </c>
      <c r="U431" s="153" t="str">
        <f>+VLOOKUP($L431,Data_Validation!$A:$D,3,0)</f>
        <v>Carrosserie</v>
      </c>
      <c r="V431" s="153" t="str">
        <f>+VLOOKUP($L431,Data_Validation!$A:$D,4,0)</f>
        <v>Divers</v>
      </c>
      <c r="W431" s="153" t="str">
        <f>+VLOOKUP($L431,Data_Validation!$A:$E,5,0)</f>
        <v>$</v>
      </c>
      <c r="X431" s="153">
        <f>+VLOOKUP($L431,Data_Validation!$A:$F,6,0)</f>
        <v>0</v>
      </c>
    </row>
    <row r="432" spans="1:24" ht="15" customHeight="1">
      <c r="A432" s="1430" t="s">
        <v>1214</v>
      </c>
      <c r="B432" s="1431">
        <v>6556</v>
      </c>
      <c r="C432" s="1433">
        <v>1040.53</v>
      </c>
      <c r="D432" s="1433">
        <v>125.68</v>
      </c>
      <c r="E432" s="1433">
        <v>1166.21</v>
      </c>
      <c r="F432" s="1430" t="s">
        <v>398</v>
      </c>
      <c r="G432" s="1430" t="s">
        <v>2461</v>
      </c>
      <c r="H432" s="1233"/>
      <c r="I432" s="1240"/>
      <c r="J432" s="1240"/>
      <c r="K432" s="1240"/>
      <c r="L432" s="150">
        <f t="shared" si="18"/>
        <v>6556</v>
      </c>
      <c r="M432" s="151" t="str">
        <f t="shared" si="19"/>
        <v>FRAIS REPRESENTATION</v>
      </c>
      <c r="N432" s="152">
        <f>+IF(OR($Q432=Parametres!$G$2,$Q432=Parametres!$G$3),I432,C432)</f>
        <v>1040.53</v>
      </c>
      <c r="O432" s="152">
        <f>+IF(OR($Q432=Parametres!$G$2,$Q432=Parametres!$G$3),J432,D432)</f>
        <v>125.68</v>
      </c>
      <c r="P432" s="152">
        <f>+IF(OR($Q432=Parametres!$G$2,$Q432=Parametres!$G$3),K432,E432)</f>
        <v>1166.21</v>
      </c>
      <c r="Q432" s="151" t="str">
        <f t="shared" si="30"/>
        <v>7-Dépenses</v>
      </c>
      <c r="R432" s="150" t="str">
        <f t="shared" si="30"/>
        <v>6156</v>
      </c>
      <c r="S432" s="151">
        <f t="shared" si="30"/>
        <v>0</v>
      </c>
      <c r="T432" s="153">
        <f>+VLOOKUP($L432,Data_Validation!$A:$D,1,0)</f>
        <v>6556</v>
      </c>
      <c r="U432" s="153" t="str">
        <f>+VLOOKUP($L432,Data_Validation!$A:$D,3,0)</f>
        <v>Carrosserie</v>
      </c>
      <c r="V432" s="153" t="str">
        <f>+VLOOKUP($L432,Data_Validation!$A:$D,4,0)</f>
        <v>Frais de déplacement</v>
      </c>
      <c r="W432" s="153" t="str">
        <f>+VLOOKUP($L432,Data_Validation!$A:$E,5,0)</f>
        <v>$</v>
      </c>
      <c r="X432" s="153">
        <f>+VLOOKUP($L432,Data_Validation!$A:$F,6,0)</f>
        <v>0</v>
      </c>
    </row>
    <row r="433" spans="1:24" ht="15" customHeight="1">
      <c r="A433" s="1430" t="s">
        <v>1305</v>
      </c>
      <c r="B433" s="1431">
        <v>6559</v>
      </c>
      <c r="C433" s="1433">
        <v>5355.7</v>
      </c>
      <c r="D433" s="1433">
        <v>1199.3900000000001</v>
      </c>
      <c r="E433" s="1433">
        <v>6555.09</v>
      </c>
      <c r="F433" s="1430" t="s">
        <v>398</v>
      </c>
      <c r="G433" s="1430" t="s">
        <v>2653</v>
      </c>
      <c r="H433" s="1233"/>
      <c r="I433" s="1240"/>
      <c r="J433" s="1240"/>
      <c r="K433" s="1240"/>
      <c r="L433" s="150">
        <f t="shared" si="18"/>
        <v>6559</v>
      </c>
      <c r="M433" s="151" t="str">
        <f t="shared" si="19"/>
        <v>SERVICE EXTERIEUR</v>
      </c>
      <c r="N433" s="152">
        <f>+IF(OR($Q433=Parametres!$G$2,$Q433=Parametres!$G$3),I433,C433)</f>
        <v>5355.7</v>
      </c>
      <c r="O433" s="152">
        <f>+IF(OR($Q433=Parametres!$G$2,$Q433=Parametres!$G$3),J433,D433)</f>
        <v>1199.3900000000001</v>
      </c>
      <c r="P433" s="152">
        <f>+IF(OR($Q433=Parametres!$G$2,$Q433=Parametres!$G$3),K433,E433)</f>
        <v>6555.09</v>
      </c>
      <c r="Q433" s="151" t="str">
        <f t="shared" si="30"/>
        <v>7-Dépenses</v>
      </c>
      <c r="R433" s="150" t="str">
        <f t="shared" si="30"/>
        <v>6159</v>
      </c>
      <c r="S433" s="151">
        <f t="shared" si="30"/>
        <v>0</v>
      </c>
      <c r="T433" s="153">
        <f>+VLOOKUP($L433,Data_Validation!$A:$D,1,0)</f>
        <v>6559</v>
      </c>
      <c r="U433" s="153" t="str">
        <f>+VLOOKUP($L433,Data_Validation!$A:$D,3,0)</f>
        <v>Carrosserie</v>
      </c>
      <c r="V433" s="153" t="str">
        <f>+VLOOKUP($L433,Data_Validation!$A:$D,4,0)</f>
        <v>Services extérieurs</v>
      </c>
      <c r="W433" s="153" t="str">
        <f>+VLOOKUP($L433,Data_Validation!$A:$E,5,0)</f>
        <v>$</v>
      </c>
      <c r="X433" s="153">
        <f>+VLOOKUP($L433,Data_Validation!$A:$F,6,0)</f>
        <v>0</v>
      </c>
    </row>
    <row r="434" spans="1:24" ht="15" customHeight="1">
      <c r="A434" s="1430" t="s">
        <v>1330</v>
      </c>
      <c r="B434" s="1431">
        <v>6561</v>
      </c>
      <c r="C434" s="1433">
        <v>3075.79</v>
      </c>
      <c r="D434" s="1433">
        <v>435.23</v>
      </c>
      <c r="E434" s="1433">
        <v>3511.02</v>
      </c>
      <c r="F434" s="1430" t="s">
        <v>398</v>
      </c>
      <c r="G434" s="1430" t="s">
        <v>2644</v>
      </c>
      <c r="H434" s="1241"/>
      <c r="I434" s="1242"/>
      <c r="J434" s="1242"/>
      <c r="K434" s="1242"/>
      <c r="L434" s="150">
        <f t="shared" si="18"/>
        <v>6561</v>
      </c>
      <c r="M434" s="151" t="str">
        <f t="shared" si="19"/>
        <v>DEPRECIATION EQUIP. &amp; FIXTURES</v>
      </c>
      <c r="N434" s="152">
        <f>+IF(OR($Q434=Parametres!$G$2,$Q434=Parametres!$G$3),I434,C434)</f>
        <v>3075.79</v>
      </c>
      <c r="O434" s="152">
        <f>+IF(OR($Q434=Parametres!$G$2,$Q434=Parametres!$G$3),J434,D434)</f>
        <v>435.23</v>
      </c>
      <c r="P434" s="152">
        <f>+IF(OR($Q434=Parametres!$G$2,$Q434=Parametres!$G$3),K434,E434)</f>
        <v>3511.02</v>
      </c>
      <c r="Q434" s="151" t="str">
        <f t="shared" ref="Q434:S449" si="31">+F434</f>
        <v>7-Dépenses</v>
      </c>
      <c r="R434" s="150" t="str">
        <f t="shared" si="31"/>
        <v>6161</v>
      </c>
      <c r="S434" s="151">
        <f t="shared" si="31"/>
        <v>0</v>
      </c>
      <c r="T434" s="153">
        <f>+VLOOKUP($L434,Data_Validation!$A:$D,1,0)</f>
        <v>6561</v>
      </c>
      <c r="U434" s="153" t="str">
        <f>+VLOOKUP($L434,Data_Validation!$A:$D,3,0)</f>
        <v>Carrosserie</v>
      </c>
      <c r="V434" s="153" t="str">
        <f>+VLOOKUP($L434,Data_Validation!$A:$D,4,0)</f>
        <v>Amortissement</v>
      </c>
      <c r="W434" s="153" t="str">
        <f>+VLOOKUP($L434,Data_Validation!$A:$E,5,0)</f>
        <v>$</v>
      </c>
      <c r="X434" s="153">
        <f>+VLOOKUP($L434,Data_Validation!$A:$F,6,0)</f>
        <v>0</v>
      </c>
    </row>
    <row r="435" spans="1:24" ht="15.75" customHeight="1">
      <c r="A435" s="1430" t="s">
        <v>1241</v>
      </c>
      <c r="B435" s="1431">
        <v>6581</v>
      </c>
      <c r="C435" s="1433">
        <v>1830.03</v>
      </c>
      <c r="D435" s="1433">
        <v>242.55</v>
      </c>
      <c r="E435" s="1433">
        <v>2072.58</v>
      </c>
      <c r="F435" s="1430" t="s">
        <v>398</v>
      </c>
      <c r="G435" s="1430" t="s">
        <v>2595</v>
      </c>
      <c r="H435" s="1241"/>
      <c r="I435" s="1242"/>
      <c r="J435" s="1242"/>
      <c r="K435" s="1242"/>
      <c r="L435" s="150">
        <f t="shared" si="18"/>
        <v>6581</v>
      </c>
      <c r="M435" s="151" t="str">
        <f t="shared" si="19"/>
        <v>CHAUFFAGE,ELECTRICITE,EAU-CARROS.</v>
      </c>
      <c r="N435" s="152">
        <f>+IF(OR($Q435=Parametres!$G$2,$Q435=Parametres!$G$3),I435,C435)</f>
        <v>1830.03</v>
      </c>
      <c r="O435" s="152">
        <f>+IF(OR($Q435=Parametres!$G$2,$Q435=Parametres!$G$3),J435,D435)</f>
        <v>242.55</v>
      </c>
      <c r="P435" s="152">
        <f>+IF(OR($Q435=Parametres!$G$2,$Q435=Parametres!$G$3),K435,E435)</f>
        <v>2072.58</v>
      </c>
      <c r="Q435" s="151" t="str">
        <f t="shared" si="31"/>
        <v>7-Dépenses</v>
      </c>
      <c r="R435" s="150" t="str">
        <f t="shared" si="31"/>
        <v>6181</v>
      </c>
      <c r="S435" s="151">
        <f t="shared" si="31"/>
        <v>0</v>
      </c>
      <c r="T435" s="153">
        <f>+VLOOKUP($L435,Data_Validation!$A:$D,1,0)</f>
        <v>6581</v>
      </c>
      <c r="U435" s="153" t="str">
        <f>+VLOOKUP($L435,Data_Validation!$A:$D,3,0)</f>
        <v>Carrosserie</v>
      </c>
      <c r="V435" s="153" t="str">
        <f>+VLOOKUP($L435,Data_Validation!$A:$D,4,0)</f>
        <v>Chauffage, éclairage</v>
      </c>
      <c r="W435" s="153" t="str">
        <f>+VLOOKUP($L435,Data_Validation!$A:$E,5,0)</f>
        <v>$</v>
      </c>
      <c r="X435" s="153">
        <f>+VLOOKUP($L435,Data_Validation!$A:$F,6,0)</f>
        <v>0</v>
      </c>
    </row>
    <row r="436" spans="1:24" ht="15" customHeight="1">
      <c r="A436" s="1430" t="s">
        <v>1395</v>
      </c>
      <c r="B436" s="1431">
        <v>6582</v>
      </c>
      <c r="C436" s="1433">
        <v>18200</v>
      </c>
      <c r="D436" s="1433">
        <v>1820</v>
      </c>
      <c r="E436" s="1433">
        <v>20020</v>
      </c>
      <c r="F436" s="1430" t="s">
        <v>398</v>
      </c>
      <c r="G436" s="1430" t="s">
        <v>2700</v>
      </c>
      <c r="H436" s="1241"/>
      <c r="I436" s="1242"/>
      <c r="J436" s="1242"/>
      <c r="K436" s="1242"/>
      <c r="L436" s="150">
        <f t="shared" si="18"/>
        <v>6582</v>
      </c>
      <c r="M436" s="151" t="str">
        <f t="shared" si="19"/>
        <v>LOYER - CARROSSERIE</v>
      </c>
      <c r="N436" s="152">
        <f>+IF(OR($Q436=Parametres!$G$2,$Q436=Parametres!$G$3),I436,C436)</f>
        <v>18200</v>
      </c>
      <c r="O436" s="152">
        <f>+IF(OR($Q436=Parametres!$G$2,$Q436=Parametres!$G$3),J436,D436)</f>
        <v>1820</v>
      </c>
      <c r="P436" s="152">
        <f>+IF(OR($Q436=Parametres!$G$2,$Q436=Parametres!$G$3),K436,E436)</f>
        <v>20020</v>
      </c>
      <c r="Q436" s="151" t="str">
        <f t="shared" si="31"/>
        <v>7-Dépenses</v>
      </c>
      <c r="R436" s="150" t="str">
        <f t="shared" si="31"/>
        <v>6182</v>
      </c>
      <c r="S436" s="151">
        <f t="shared" si="31"/>
        <v>0</v>
      </c>
      <c r="T436" s="153">
        <f>+VLOOKUP($L436,Data_Validation!$A:$D,1,0)</f>
        <v>6582</v>
      </c>
      <c r="U436" s="153" t="str">
        <f>+VLOOKUP($L436,Data_Validation!$A:$D,3,0)</f>
        <v>Carrosserie</v>
      </c>
      <c r="V436" s="153" t="str">
        <f>+VLOOKUP($L436,Data_Validation!$A:$D,4,0)</f>
        <v>Loyer</v>
      </c>
      <c r="W436" s="153" t="str">
        <f>+VLOOKUP($L436,Data_Validation!$A:$E,5,0)</f>
        <v>$</v>
      </c>
      <c r="X436" s="153">
        <f>+VLOOKUP($L436,Data_Validation!$A:$F,6,0)</f>
        <v>0</v>
      </c>
    </row>
    <row r="437" spans="1:24" ht="15" customHeight="1">
      <c r="A437" s="1430" t="s">
        <v>1252</v>
      </c>
      <c r="B437" s="1431">
        <v>6586</v>
      </c>
      <c r="C437" s="1433">
        <v>2595.6999999999998</v>
      </c>
      <c r="D437" s="1433">
        <v>259.57</v>
      </c>
      <c r="E437" s="1433">
        <v>2855.27</v>
      </c>
      <c r="F437" s="1430" t="s">
        <v>398</v>
      </c>
      <c r="G437" s="1430" t="s">
        <v>2585</v>
      </c>
      <c r="H437" s="1241"/>
      <c r="I437" s="1242"/>
      <c r="J437" s="1242"/>
      <c r="K437" s="1242"/>
      <c r="L437" s="150">
        <f t="shared" si="18"/>
        <v>6586</v>
      </c>
      <c r="M437" s="151" t="str">
        <f t="shared" si="19"/>
        <v>ASSURANCE BATISSE &amp; AMEL.-CARROS.</v>
      </c>
      <c r="N437" s="152">
        <f>+IF(OR($Q437=Parametres!$G$2,$Q437=Parametres!$G$3),I437,C437)</f>
        <v>2595.6999999999998</v>
      </c>
      <c r="O437" s="152">
        <f>+IF(OR($Q437=Parametres!$G$2,$Q437=Parametres!$G$3),J437,D437)</f>
        <v>259.57</v>
      </c>
      <c r="P437" s="152">
        <f>+IF(OR($Q437=Parametres!$G$2,$Q437=Parametres!$G$3),K437,E437)</f>
        <v>2855.27</v>
      </c>
      <c r="Q437" s="151" t="str">
        <f t="shared" si="31"/>
        <v>7-Dépenses</v>
      </c>
      <c r="R437" s="150" t="str">
        <f t="shared" si="31"/>
        <v>6186</v>
      </c>
      <c r="S437" s="151">
        <f t="shared" si="31"/>
        <v>0</v>
      </c>
      <c r="T437" s="153">
        <f>+VLOOKUP($L437,Data_Validation!$A:$D,1,0)</f>
        <v>6586</v>
      </c>
      <c r="U437" s="153" t="str">
        <f>+VLOOKUP($L437,Data_Validation!$A:$D,3,0)</f>
        <v>Carrosserie</v>
      </c>
      <c r="V437" s="153" t="str">
        <f>+VLOOKUP($L437,Data_Validation!$A:$D,4,0)</f>
        <v>Assurances</v>
      </c>
      <c r="W437" s="153" t="str">
        <f>+VLOOKUP($L437,Data_Validation!$A:$E,5,0)</f>
        <v>$</v>
      </c>
      <c r="X437" s="153">
        <f>+VLOOKUP($L437,Data_Validation!$A:$F,6,0)</f>
        <v>0</v>
      </c>
    </row>
    <row r="438" spans="1:24" ht="15" customHeight="1">
      <c r="A438" s="1430" t="s">
        <v>1261</v>
      </c>
      <c r="B438" s="1431">
        <v>6587</v>
      </c>
      <c r="C438" s="1433">
        <v>3367</v>
      </c>
      <c r="D438" s="1433">
        <v>336.7</v>
      </c>
      <c r="E438" s="1433">
        <v>3703.7</v>
      </c>
      <c r="F438" s="1430" t="s">
        <v>398</v>
      </c>
      <c r="G438" s="1430" t="s">
        <v>2605</v>
      </c>
      <c r="H438" s="1241"/>
      <c r="I438" s="1242"/>
      <c r="J438" s="1242"/>
      <c r="K438" s="1242"/>
      <c r="L438" s="150">
        <f t="shared" si="18"/>
        <v>6587</v>
      </c>
      <c r="M438" s="151" t="str">
        <f t="shared" si="19"/>
        <v>TAXES FONCIERES - CAROSSERIE</v>
      </c>
      <c r="N438" s="152">
        <f>+IF(OR($Q438=Parametres!$G$2,$Q438=Parametres!$G$3),I438,C438)</f>
        <v>3367</v>
      </c>
      <c r="O438" s="571">
        <f>+IF(OR($Q438=Parametres!$G$2,$Q438=Parametres!$G$3),J438,D438)</f>
        <v>336.7</v>
      </c>
      <c r="P438" s="152">
        <f>+IF(OR($Q438=Parametres!$G$2,$Q438=Parametres!$G$3),K438,E438)</f>
        <v>3703.7</v>
      </c>
      <c r="Q438" s="151" t="str">
        <f t="shared" si="31"/>
        <v>7-Dépenses</v>
      </c>
      <c r="R438" s="150" t="str">
        <f t="shared" si="31"/>
        <v>6187</v>
      </c>
      <c r="S438" s="151">
        <f t="shared" si="31"/>
        <v>0</v>
      </c>
      <c r="T438" s="153">
        <f>+VLOOKUP($L438,Data_Validation!$A:$D,1,0)</f>
        <v>6587</v>
      </c>
      <c r="U438" s="153" t="str">
        <f>+VLOOKUP($L438,Data_Validation!$A:$D,3,0)</f>
        <v>Carrosserie</v>
      </c>
      <c r="V438" s="153" t="str">
        <f>+VLOOKUP($L438,Data_Validation!$A:$D,4,0)</f>
        <v>Taxes foncières</v>
      </c>
      <c r="W438" s="153" t="str">
        <f>+VLOOKUP($L438,Data_Validation!$A:$E,5,0)</f>
        <v>$</v>
      </c>
      <c r="X438" s="153">
        <f>+VLOOKUP($L438,Data_Validation!$A:$F,6,0)</f>
        <v>0</v>
      </c>
    </row>
    <row r="439" spans="1:24" ht="15" customHeight="1">
      <c r="A439" s="1430" t="s">
        <v>1222</v>
      </c>
      <c r="B439" s="1431">
        <v>6593</v>
      </c>
      <c r="C439" s="1433">
        <v>2240</v>
      </c>
      <c r="D439" s="1433">
        <v>224</v>
      </c>
      <c r="E439" s="1433">
        <v>2464</v>
      </c>
      <c r="F439" s="1430" t="s">
        <v>398</v>
      </c>
      <c r="G439" s="1430" t="s">
        <v>2588</v>
      </c>
      <c r="H439" s="1241"/>
      <c r="I439" s="1242"/>
      <c r="J439" s="1242"/>
      <c r="K439" s="1242"/>
      <c r="L439" s="150">
        <f t="shared" si="18"/>
        <v>6593</v>
      </c>
      <c r="M439" s="151" t="str">
        <f t="shared" si="19"/>
        <v>AUTRES TAXES -CARROSSERIE</v>
      </c>
      <c r="N439" s="152">
        <f>+IF(OR($Q439=Parametres!$G$2,$Q439=Parametres!$G$3),I439,C439)</f>
        <v>2240</v>
      </c>
      <c r="O439" s="152">
        <f>+IF(OR($Q439=Parametres!$G$2,$Q439=Parametres!$G$3),J439,D439)</f>
        <v>224</v>
      </c>
      <c r="P439" s="152">
        <f>+IF(OR($Q439=Parametres!$G$2,$Q439=Parametres!$G$3),K439,E439)</f>
        <v>2464</v>
      </c>
      <c r="Q439" s="151" t="str">
        <f t="shared" si="31"/>
        <v>7-Dépenses</v>
      </c>
      <c r="R439" s="150" t="str">
        <f t="shared" si="31"/>
        <v>6193</v>
      </c>
      <c r="S439" s="151">
        <f t="shared" si="31"/>
        <v>0</v>
      </c>
      <c r="T439" s="153">
        <f>+VLOOKUP($L439,Data_Validation!$A:$D,1,0)</f>
        <v>6593</v>
      </c>
      <c r="U439" s="153" t="str">
        <f>+VLOOKUP($L439,Data_Validation!$A:$D,3,0)</f>
        <v>Carrosserie</v>
      </c>
      <c r="V439" s="153" t="str">
        <f>+VLOOKUP($L439,Data_Validation!$A:$D,4,0)</f>
        <v>Taxes d`affaires</v>
      </c>
      <c r="W439" s="153" t="str">
        <f>+VLOOKUP($L439,Data_Validation!$A:$E,5,0)</f>
        <v>$</v>
      </c>
      <c r="X439" s="153">
        <f>+VLOOKUP($L439,Data_Validation!$A:$F,6,0)</f>
        <v>0</v>
      </c>
    </row>
    <row r="440" spans="1:24" ht="15" customHeight="1">
      <c r="A440" s="1430" t="s">
        <v>1268</v>
      </c>
      <c r="B440" s="1431">
        <v>6594</v>
      </c>
      <c r="C440" s="1433">
        <v>4505.08</v>
      </c>
      <c r="D440" s="1433">
        <v>435.2</v>
      </c>
      <c r="E440" s="1433">
        <v>4940.28</v>
      </c>
      <c r="F440" s="1430" t="s">
        <v>398</v>
      </c>
      <c r="G440" s="1430" t="s">
        <v>2626</v>
      </c>
      <c r="H440" s="1241"/>
      <c r="I440" s="1242"/>
      <c r="J440" s="1242"/>
      <c r="K440" s="1242"/>
      <c r="L440" s="150">
        <f t="shared" si="18"/>
        <v>6594</v>
      </c>
      <c r="M440" s="151" t="str">
        <f t="shared" si="19"/>
        <v>FRAIS PROFESSIONNEL-CARROS.</v>
      </c>
      <c r="N440" s="152">
        <f>+IF(OR($Q440=Parametres!$G$2,$Q440=Parametres!$G$3),I440,C440)</f>
        <v>4505.08</v>
      </c>
      <c r="O440" s="566">
        <f>+IF(OR($Q440=Parametres!$G$2,$Q440=Parametres!$G$3),J440,D440)</f>
        <v>435.2</v>
      </c>
      <c r="P440" s="152">
        <f>+IF(OR($Q440=Parametres!$G$2,$Q440=Parametres!$G$3),K440,E440)</f>
        <v>4940.28</v>
      </c>
      <c r="Q440" s="151" t="str">
        <f t="shared" si="31"/>
        <v>7-Dépenses</v>
      </c>
      <c r="R440" s="150" t="str">
        <f t="shared" si="31"/>
        <v>6194</v>
      </c>
      <c r="S440" s="151">
        <f t="shared" si="31"/>
        <v>0</v>
      </c>
      <c r="T440" s="153">
        <f>+VLOOKUP($L440,Data_Validation!$A:$D,1,0)</f>
        <v>6594</v>
      </c>
      <c r="U440" s="153" t="str">
        <f>+VLOOKUP($L440,Data_Validation!$A:$D,3,0)</f>
        <v>Carrosserie</v>
      </c>
      <c r="V440" s="153" t="str">
        <f>+VLOOKUP($L440,Data_Validation!$A:$D,4,0)</f>
        <v>Honoraires</v>
      </c>
      <c r="W440" s="153" t="str">
        <f>+VLOOKUP($L440,Data_Validation!$A:$E,5,0)</f>
        <v>$</v>
      </c>
      <c r="X440" s="153">
        <f>+VLOOKUP($L440,Data_Validation!$A:$F,6,0)</f>
        <v>0</v>
      </c>
    </row>
    <row r="441" spans="1:24" ht="15.75" customHeight="1">
      <c r="A441" s="1430" t="s">
        <v>1900</v>
      </c>
      <c r="B441" s="1431">
        <v>6595</v>
      </c>
      <c r="C441" s="1433">
        <v>0</v>
      </c>
      <c r="D441" s="1433">
        <v>9.8000000000000007</v>
      </c>
      <c r="E441" s="1433">
        <v>9.8000000000000007</v>
      </c>
      <c r="F441" s="1430" t="s">
        <v>398</v>
      </c>
      <c r="G441" s="1430" t="s">
        <v>3613</v>
      </c>
      <c r="H441" s="1241"/>
      <c r="I441" s="1242"/>
      <c r="J441" s="1242"/>
      <c r="K441" s="1242"/>
      <c r="L441" s="150">
        <f t="shared" si="18"/>
        <v>6595</v>
      </c>
      <c r="M441" s="151" t="str">
        <f t="shared" si="19"/>
        <v>CONTRIBUTION - CARROSSERIE</v>
      </c>
      <c r="N441" s="152">
        <f>+IF(OR($Q441=Parametres!$G$2,$Q441=Parametres!$G$3),I441,C441)</f>
        <v>0</v>
      </c>
      <c r="O441" s="152">
        <f>+IF(OR($Q441=Parametres!$G$2,$Q441=Parametres!$G$3),J441,D441)</f>
        <v>9.8000000000000007</v>
      </c>
      <c r="P441" s="152">
        <f>+IF(OR($Q441=Parametres!$G$2,$Q441=Parametres!$G$3),K441,E441)</f>
        <v>9.8000000000000007</v>
      </c>
      <c r="Q441" s="151" t="str">
        <f t="shared" si="31"/>
        <v>7-Dépenses</v>
      </c>
      <c r="R441" s="150" t="str">
        <f t="shared" si="31"/>
        <v>6195</v>
      </c>
      <c r="S441" s="151">
        <f t="shared" si="31"/>
        <v>0</v>
      </c>
      <c r="T441" s="153">
        <f>+VLOOKUP($L441,Data_Validation!$A:$D,1,0)</f>
        <v>6595</v>
      </c>
      <c r="U441" s="153" t="str">
        <f>+VLOOKUP($L441,Data_Validation!$A:$D,3,0)</f>
        <v>Carrosserie</v>
      </c>
      <c r="V441" s="153" t="str">
        <f>+VLOOKUP($L441,Data_Validation!$A:$D,4,0)</f>
        <v>Dons</v>
      </c>
      <c r="W441" s="153" t="str">
        <f>+VLOOKUP($L441,Data_Validation!$A:$E,5,0)</f>
        <v>$</v>
      </c>
      <c r="X441" s="153">
        <f>+VLOOKUP($L441,Data_Validation!$A:$F,6,0)</f>
        <v>0</v>
      </c>
    </row>
    <row r="442" spans="1:24" ht="15" customHeight="1">
      <c r="A442" s="1430" t="s">
        <v>396</v>
      </c>
      <c r="B442" s="1431">
        <v>6703</v>
      </c>
      <c r="C442" s="1433">
        <v>6361.66</v>
      </c>
      <c r="D442" s="1433">
        <v>756.07</v>
      </c>
      <c r="E442" s="1433">
        <v>7117.73</v>
      </c>
      <c r="F442" s="1430" t="s">
        <v>398</v>
      </c>
      <c r="G442" s="1430" t="s">
        <v>2458</v>
      </c>
      <c r="H442" s="1241"/>
      <c r="I442" s="1242"/>
      <c r="J442" s="1242"/>
      <c r="K442" s="1242"/>
      <c r="L442" s="150">
        <f t="shared" si="18"/>
        <v>6703</v>
      </c>
      <c r="M442" s="151" t="str">
        <f t="shared" si="19"/>
        <v>RELAT. A LA CLIENTELE &amp; AJUST.</v>
      </c>
      <c r="N442" s="152">
        <f>+IF(OR($Q442=Parametres!$G$2,$Q442=Parametres!$G$3),I442,C442)</f>
        <v>6361.66</v>
      </c>
      <c r="O442" s="152">
        <f>+IF(OR($Q442=Parametres!$G$2,$Q442=Parametres!$G$3),J442,D442)</f>
        <v>756.07</v>
      </c>
      <c r="P442" s="152">
        <f>+IF(OR($Q442=Parametres!$G$2,$Q442=Parametres!$G$3),K442,E442)</f>
        <v>7117.73</v>
      </c>
      <c r="Q442" s="151" t="str">
        <f t="shared" si="31"/>
        <v>7-Dépenses</v>
      </c>
      <c r="R442" s="150" t="str">
        <f t="shared" si="31"/>
        <v>6112</v>
      </c>
      <c r="S442" s="151">
        <f t="shared" si="31"/>
        <v>0</v>
      </c>
      <c r="T442" s="153">
        <f>+VLOOKUP($L442,Data_Validation!$A:$D,1,0)</f>
        <v>6703</v>
      </c>
      <c r="U442" s="153" t="str">
        <f>+VLOOKUP($L442,Data_Validation!$A:$D,3,0)</f>
        <v>Pièces</v>
      </c>
      <c r="V442" s="153" t="str">
        <f>+VLOOKUP($L442,Data_Validation!$A:$D,4,0)</f>
        <v>Service gratuit 2</v>
      </c>
      <c r="W442" s="153" t="str">
        <f>+VLOOKUP($L442,Data_Validation!$A:$E,5,0)</f>
        <v>$</v>
      </c>
      <c r="X442" s="153">
        <f>+VLOOKUP($L442,Data_Validation!$A:$F,6,0)</f>
        <v>0</v>
      </c>
    </row>
    <row r="443" spans="1:24" ht="15" customHeight="1">
      <c r="A443" s="1430" t="s">
        <v>1371</v>
      </c>
      <c r="B443" s="1431">
        <v>6714</v>
      </c>
      <c r="C443" s="1433">
        <v>32113.26</v>
      </c>
      <c r="D443" s="1433">
        <v>6039.71</v>
      </c>
      <c r="E443" s="1433">
        <v>38152.97</v>
      </c>
      <c r="F443" s="1430" t="s">
        <v>398</v>
      </c>
      <c r="G443" s="1430" t="s">
        <v>2106</v>
      </c>
      <c r="H443" s="1241"/>
      <c r="I443" s="1242"/>
      <c r="J443" s="1242"/>
      <c r="K443" s="1242"/>
      <c r="L443" s="150">
        <f t="shared" si="18"/>
        <v>6714</v>
      </c>
      <c r="M443" s="151" t="str">
        <f t="shared" si="19"/>
        <v>PUBLICITE</v>
      </c>
      <c r="N443" s="152">
        <f>+IF(OR($Q443=Parametres!$G$2,$Q443=Parametres!$G$3),I443,C443)</f>
        <v>32113.26</v>
      </c>
      <c r="O443" s="152">
        <f>+IF(OR($Q443=Parametres!$G$2,$Q443=Parametres!$G$3),J443,D443)</f>
        <v>6039.71</v>
      </c>
      <c r="P443" s="152">
        <f>+IF(OR($Q443=Parametres!$G$2,$Q443=Parametres!$G$3),K443,E443)</f>
        <v>38152.97</v>
      </c>
      <c r="Q443" s="151" t="str">
        <f t="shared" si="31"/>
        <v>7-Dépenses</v>
      </c>
      <c r="R443" s="150" t="str">
        <f t="shared" si="31"/>
        <v>6114</v>
      </c>
      <c r="S443" s="151">
        <f t="shared" si="31"/>
        <v>0</v>
      </c>
      <c r="T443" s="153">
        <f>+VLOOKUP($L443,Data_Validation!$A:$D,1,0)</f>
        <v>6714</v>
      </c>
      <c r="U443" s="153" t="str">
        <f>+VLOOKUP($L443,Data_Validation!$A:$D,3,0)</f>
        <v>Pièces</v>
      </c>
      <c r="V443" s="153" t="str">
        <f>+VLOOKUP($L443,Data_Validation!$A:$D,4,0)</f>
        <v>Publicité 2</v>
      </c>
      <c r="W443" s="153" t="str">
        <f>+VLOOKUP($L443,Data_Validation!$A:$E,5,0)</f>
        <v>$</v>
      </c>
      <c r="X443" s="153">
        <f>+VLOOKUP($L443,Data_Validation!$A:$F,6,0)</f>
        <v>0</v>
      </c>
    </row>
    <row r="444" spans="1:24" ht="15" customHeight="1">
      <c r="A444" s="1430" t="s">
        <v>1354</v>
      </c>
      <c r="B444" s="1431">
        <v>6721</v>
      </c>
      <c r="C444" s="1433">
        <v>11397.05</v>
      </c>
      <c r="D444" s="1433">
        <v>2795.62</v>
      </c>
      <c r="E444" s="1433">
        <v>14192.67</v>
      </c>
      <c r="F444" s="1430" t="s">
        <v>398</v>
      </c>
      <c r="G444" s="1430" t="s">
        <v>2639</v>
      </c>
      <c r="H444" s="1241"/>
      <c r="I444" s="1242"/>
      <c r="J444" s="1242"/>
      <c r="K444" s="1242"/>
      <c r="L444" s="150">
        <f t="shared" si="18"/>
        <v>6721</v>
      </c>
      <c r="M444" s="151" t="str">
        <f t="shared" si="19"/>
        <v>SALAIRES - PROPRIEATIRES</v>
      </c>
      <c r="N444" s="152">
        <f>+IF(OR($Q444=Parametres!$G$2,$Q444=Parametres!$G$3),I444,C444)</f>
        <v>11397.05</v>
      </c>
      <c r="O444" s="152">
        <f>+IF(OR($Q444=Parametres!$G$2,$Q444=Parametres!$G$3),J444,D444)</f>
        <v>2795.62</v>
      </c>
      <c r="P444" s="152">
        <f>+IF(OR($Q444=Parametres!$G$2,$Q444=Parametres!$G$3),K444,E444)</f>
        <v>14192.67</v>
      </c>
      <c r="Q444" s="151" t="str">
        <f t="shared" si="31"/>
        <v>7-Dépenses</v>
      </c>
      <c r="R444" s="150" t="str">
        <f t="shared" si="31"/>
        <v>6121</v>
      </c>
      <c r="S444" s="151">
        <f t="shared" si="31"/>
        <v>0</v>
      </c>
      <c r="T444" s="153">
        <f>+VLOOKUP($L444,Data_Validation!$A:$D,1,0)</f>
        <v>6721</v>
      </c>
      <c r="U444" s="153" t="str">
        <f>+VLOOKUP($L444,Data_Validation!$A:$D,3,0)</f>
        <v>Pièces</v>
      </c>
      <c r="V444" s="153" t="str">
        <f>+VLOOKUP($L444,Data_Validation!$A:$D,4,0)</f>
        <v>Salaires propriétaire</v>
      </c>
      <c r="W444" s="153" t="str">
        <f>+VLOOKUP($L444,Data_Validation!$A:$E,5,0)</f>
        <v>$</v>
      </c>
      <c r="X444" s="153">
        <f>+VLOOKUP($L444,Data_Validation!$A:$F,6,0)</f>
        <v>0</v>
      </c>
    </row>
    <row r="445" spans="1:24" ht="15" customHeight="1">
      <c r="A445" s="1430" t="s">
        <v>2615</v>
      </c>
      <c r="B445" s="1431">
        <v>6722</v>
      </c>
      <c r="C445" s="1433">
        <v>56650.55</v>
      </c>
      <c r="D445" s="1433">
        <v>5759.86</v>
      </c>
      <c r="E445" s="1433">
        <v>62410.41</v>
      </c>
      <c r="F445" s="1430" t="s">
        <v>398</v>
      </c>
      <c r="G445" s="1430" t="s">
        <v>2617</v>
      </c>
      <c r="H445" s="1241"/>
      <c r="I445" s="1242"/>
      <c r="J445" s="1242"/>
      <c r="K445" s="1242"/>
      <c r="L445" s="150">
        <f t="shared" si="18"/>
        <v>6722</v>
      </c>
      <c r="M445" s="151" t="str">
        <f t="shared" si="19"/>
        <v>SAL SUPERVISION / GERANT</v>
      </c>
      <c r="N445" s="152">
        <f>+IF(OR($Q445=Parametres!$G$2,$Q445=Parametres!$G$3),I445,C445)</f>
        <v>56650.55</v>
      </c>
      <c r="O445" s="152">
        <f>+IF(OR($Q445=Parametres!$G$2,$Q445=Parametres!$G$3),J445,D445)</f>
        <v>5759.86</v>
      </c>
      <c r="P445" s="152">
        <f>+IF(OR($Q445=Parametres!$G$2,$Q445=Parametres!$G$3),K445,E445)</f>
        <v>62410.41</v>
      </c>
      <c r="Q445" s="151" t="str">
        <f t="shared" si="31"/>
        <v>7-Dépenses</v>
      </c>
      <c r="R445" s="150" t="str">
        <f t="shared" si="31"/>
        <v>6122</v>
      </c>
      <c r="S445" s="151">
        <f t="shared" si="31"/>
        <v>0</v>
      </c>
      <c r="T445" s="153">
        <f>+VLOOKUP($L445,Data_Validation!$A:$D,1,0)</f>
        <v>6722</v>
      </c>
      <c r="U445" s="153" t="str">
        <f>+VLOOKUP($L445,Data_Validation!$A:$D,3,0)</f>
        <v>Pièces</v>
      </c>
      <c r="V445" s="153" t="str">
        <f>+VLOOKUP($L445,Data_Validation!$A:$D,4,0)</f>
        <v>Salaires cadres</v>
      </c>
      <c r="W445" s="153" t="str">
        <f>+VLOOKUP($L445,Data_Validation!$A:$E,5,0)</f>
        <v>$</v>
      </c>
      <c r="X445" s="153">
        <f>+VLOOKUP($L445,Data_Validation!$A:$F,6,0)</f>
        <v>0</v>
      </c>
    </row>
    <row r="446" spans="1:24" ht="15.75" customHeight="1">
      <c r="A446" s="1430" t="s">
        <v>1339</v>
      </c>
      <c r="B446" s="1431">
        <v>6723</v>
      </c>
      <c r="C446" s="1433">
        <v>40611.56</v>
      </c>
      <c r="D446" s="1433">
        <v>4301.92</v>
      </c>
      <c r="E446" s="1433">
        <v>44913.48</v>
      </c>
      <c r="F446" s="1430" t="s">
        <v>398</v>
      </c>
      <c r="G446" s="1430" t="s">
        <v>2670</v>
      </c>
      <c r="H446" s="1241"/>
      <c r="I446" s="1242"/>
      <c r="J446" s="1242"/>
      <c r="K446" s="1242"/>
      <c r="L446" s="150">
        <f t="shared" si="18"/>
        <v>6723</v>
      </c>
      <c r="M446" s="151" t="str">
        <f t="shared" si="19"/>
        <v>SAL. &amp; RENUM. - CLERICAL</v>
      </c>
      <c r="N446" s="152">
        <f>+IF(OR($Q446=Parametres!$G$2,$Q446=Parametres!$G$3),I446,C446)</f>
        <v>40611.56</v>
      </c>
      <c r="O446" s="152">
        <f>+IF(OR($Q446=Parametres!$G$2,$Q446=Parametres!$G$3),J446,D446)</f>
        <v>4301.92</v>
      </c>
      <c r="P446" s="152">
        <f>+IF(OR($Q446=Parametres!$G$2,$Q446=Parametres!$G$3),K446,E446)</f>
        <v>44913.48</v>
      </c>
      <c r="Q446" s="151" t="str">
        <f t="shared" si="31"/>
        <v>7-Dépenses</v>
      </c>
      <c r="R446" s="150" t="str">
        <f t="shared" si="31"/>
        <v>6123</v>
      </c>
      <c r="S446" s="151">
        <f t="shared" si="31"/>
        <v>0</v>
      </c>
      <c r="T446" s="153">
        <f>+VLOOKUP($L446,Data_Validation!$A:$D,1,0)</f>
        <v>6723</v>
      </c>
      <c r="U446" s="153" t="str">
        <f>+VLOOKUP($L446,Data_Validation!$A:$D,3,0)</f>
        <v>Pièces</v>
      </c>
      <c r="V446" s="153" t="str">
        <f>+VLOOKUP($L446,Data_Validation!$A:$D,4,0)</f>
        <v>Salaires commis</v>
      </c>
      <c r="W446" s="153" t="str">
        <f>+VLOOKUP($L446,Data_Validation!$A:$E,5,0)</f>
        <v>$</v>
      </c>
      <c r="X446" s="153">
        <f>+VLOOKUP($L446,Data_Validation!$A:$F,6,0)</f>
        <v>0</v>
      </c>
    </row>
    <row r="447" spans="1:24" ht="15.75" customHeight="1">
      <c r="A447" s="1430" t="s">
        <v>1246</v>
      </c>
      <c r="B447" s="1431">
        <v>6724</v>
      </c>
      <c r="C447" s="1433">
        <v>200054.24</v>
      </c>
      <c r="D447" s="1433">
        <v>24094.25</v>
      </c>
      <c r="E447" s="1433">
        <v>224148.49</v>
      </c>
      <c r="F447" s="1430" t="s">
        <v>398</v>
      </c>
      <c r="G447" s="1430" t="s">
        <v>2726</v>
      </c>
      <c r="H447" s="1241"/>
      <c r="I447" s="1242"/>
      <c r="J447" s="1242"/>
      <c r="K447" s="1242"/>
      <c r="L447" s="150">
        <f t="shared" si="18"/>
        <v>6724</v>
      </c>
      <c r="M447" s="151" t="str">
        <f t="shared" si="19"/>
        <v>SALAIRES &amp; RENUM. - AUTRES</v>
      </c>
      <c r="N447" s="152">
        <f>+IF(OR($Q447=Parametres!$G$2,$Q447=Parametres!$G$3),I447,C447)</f>
        <v>200054.24</v>
      </c>
      <c r="O447" s="152">
        <f>+IF(OR($Q447=Parametres!$G$2,$Q447=Parametres!$G$3),J447,D447)</f>
        <v>24094.25</v>
      </c>
      <c r="P447" s="152">
        <f>+IF(OR($Q447=Parametres!$G$2,$Q447=Parametres!$G$3),K447,E447)</f>
        <v>224148.49</v>
      </c>
      <c r="Q447" s="151" t="str">
        <f t="shared" si="31"/>
        <v>7-Dépenses</v>
      </c>
      <c r="R447" s="150" t="str">
        <f t="shared" si="31"/>
        <v>6124</v>
      </c>
      <c r="S447" s="151">
        <f t="shared" si="31"/>
        <v>0</v>
      </c>
      <c r="T447" s="153">
        <f>+VLOOKUP($L447,Data_Validation!$A:$D,1,0)</f>
        <v>6724</v>
      </c>
      <c r="U447" s="153" t="str">
        <f>+VLOOKUP($L447,Data_Validation!$A:$D,3,0)</f>
        <v>Pièces</v>
      </c>
      <c r="V447" s="153" t="str">
        <f>+VLOOKUP($L447,Data_Validation!$A:$D,4,0)</f>
        <v>Salaires autres</v>
      </c>
      <c r="W447" s="153" t="str">
        <f>+VLOOKUP($L447,Data_Validation!$A:$E,5,0)</f>
        <v>$</v>
      </c>
      <c r="X447" s="153">
        <f>+VLOOKUP($L447,Data_Validation!$A:$F,6,0)</f>
        <v>0</v>
      </c>
    </row>
    <row r="448" spans="1:24" ht="15" customHeight="1">
      <c r="A448" s="1430" t="s">
        <v>1325</v>
      </c>
      <c r="B448" s="1431">
        <v>6729</v>
      </c>
      <c r="C448" s="1433">
        <v>31496.25</v>
      </c>
      <c r="D448" s="1433">
        <v>3545.48</v>
      </c>
      <c r="E448" s="1433">
        <v>35041.730000000003</v>
      </c>
      <c r="F448" s="1430" t="s">
        <v>398</v>
      </c>
      <c r="G448" s="1430" t="s">
        <v>2632</v>
      </c>
      <c r="H448" s="1241"/>
      <c r="I448" s="1242"/>
      <c r="J448" s="1242"/>
      <c r="K448" s="1242"/>
      <c r="L448" s="150">
        <f t="shared" si="18"/>
        <v>6729</v>
      </c>
      <c r="M448" s="151" t="str">
        <f t="shared" si="19"/>
        <v>ABSENCES, VACANCES, ETC</v>
      </c>
      <c r="N448" s="152">
        <f>+IF(OR($Q448=Parametres!$G$2,$Q448=Parametres!$G$3),I448,C448)</f>
        <v>31496.25</v>
      </c>
      <c r="O448" s="152">
        <f>+IF(OR($Q448=Parametres!$G$2,$Q448=Parametres!$G$3),J448,D448)</f>
        <v>3545.48</v>
      </c>
      <c r="P448" s="152">
        <f>+IF(OR($Q448=Parametres!$G$2,$Q448=Parametres!$G$3),K448,E448)</f>
        <v>35041.730000000003</v>
      </c>
      <c r="Q448" s="151" t="str">
        <f t="shared" si="31"/>
        <v>7-Dépenses</v>
      </c>
      <c r="R448" s="150" t="str">
        <f t="shared" si="31"/>
        <v>6129</v>
      </c>
      <c r="S448" s="151">
        <f t="shared" si="31"/>
        <v>0</v>
      </c>
      <c r="T448" s="153">
        <f>+VLOOKUP($L448,Data_Validation!$A:$D,1,0)</f>
        <v>6729</v>
      </c>
      <c r="U448" s="153" t="str">
        <f>+VLOOKUP($L448,Data_Validation!$A:$D,3,0)</f>
        <v>Pièces</v>
      </c>
      <c r="V448" s="153" t="str">
        <f>+VLOOKUP($L448,Data_Validation!$A:$D,4,0)</f>
        <v>Salaires en absences</v>
      </c>
      <c r="W448" s="153" t="str">
        <f>+VLOOKUP($L448,Data_Validation!$A:$E,5,0)</f>
        <v>$</v>
      </c>
      <c r="X448" s="153">
        <f>+VLOOKUP($L448,Data_Validation!$A:$F,6,0)</f>
        <v>0</v>
      </c>
    </row>
    <row r="449" spans="1:24" ht="15" customHeight="1">
      <c r="A449" s="1430" t="s">
        <v>1249</v>
      </c>
      <c r="B449" s="1431">
        <v>6731</v>
      </c>
      <c r="C449" s="1433">
        <v>-43151.27</v>
      </c>
      <c r="D449" s="1433">
        <v>-5055.66</v>
      </c>
      <c r="E449" s="1433">
        <v>-48206.93</v>
      </c>
      <c r="F449" s="1430" t="s">
        <v>398</v>
      </c>
      <c r="G449" s="1430" t="s">
        <v>2577</v>
      </c>
      <c r="H449" s="1241"/>
      <c r="I449" s="1243"/>
      <c r="J449" s="1243"/>
      <c r="K449" s="1243"/>
      <c r="L449" s="150">
        <f t="shared" si="18"/>
        <v>6731</v>
      </c>
      <c r="M449" s="151" t="str">
        <f t="shared" si="19"/>
        <v>CSST</v>
      </c>
      <c r="N449" s="152">
        <f>+IF(OR($Q449=Parametres!$G$2,$Q449=Parametres!$G$3),I449,C449)</f>
        <v>-43151.27</v>
      </c>
      <c r="O449" s="152">
        <f>+IF(OR($Q449=Parametres!$G$2,$Q449=Parametres!$G$3),J449,D449)</f>
        <v>-5055.66</v>
      </c>
      <c r="P449" s="152">
        <f>+IF(OR($Q449=Parametres!$G$2,$Q449=Parametres!$G$3),K449,E449)</f>
        <v>-48206.93</v>
      </c>
      <c r="Q449" s="151" t="str">
        <f t="shared" si="31"/>
        <v>7-Dépenses</v>
      </c>
      <c r="R449" s="150" t="str">
        <f t="shared" si="31"/>
        <v>6131</v>
      </c>
      <c r="S449" s="151">
        <f t="shared" si="31"/>
        <v>0</v>
      </c>
      <c r="T449" s="153">
        <f>+VLOOKUP($L449,Data_Validation!$A:$D,1,0)</f>
        <v>6731</v>
      </c>
      <c r="U449" s="153" t="str">
        <f>+VLOOKUP($L449,Data_Validation!$A:$D,3,0)</f>
        <v>Pièces</v>
      </c>
      <c r="V449" s="153" t="str">
        <f>+VLOOKUP($L449,Data_Validation!$A:$D,4,0)</f>
        <v>Csst</v>
      </c>
      <c r="W449" s="153" t="str">
        <f>+VLOOKUP($L449,Data_Validation!$A:$E,5,0)</f>
        <v>$</v>
      </c>
      <c r="X449" s="153">
        <f>+VLOOKUP($L449,Data_Validation!$A:$F,6,0)</f>
        <v>0</v>
      </c>
    </row>
    <row r="450" spans="1:24" ht="15" customHeight="1">
      <c r="A450" s="1430" t="s">
        <v>1280</v>
      </c>
      <c r="B450" s="1431">
        <v>6732</v>
      </c>
      <c r="C450" s="1433">
        <v>83442.47</v>
      </c>
      <c r="D450" s="1433">
        <v>8513.2199999999993</v>
      </c>
      <c r="E450" s="1433">
        <v>91955.69</v>
      </c>
      <c r="F450" s="1430" t="s">
        <v>398</v>
      </c>
      <c r="G450" s="1430" t="s">
        <v>2676</v>
      </c>
      <c r="H450" s="1241"/>
      <c r="I450" s="1243"/>
      <c r="J450" s="1243"/>
      <c r="K450" s="1243"/>
      <c r="L450" s="150">
        <f t="shared" si="18"/>
        <v>6732</v>
      </c>
      <c r="M450" s="151" t="str">
        <f t="shared" si="19"/>
        <v>RRQ RAMQ AC</v>
      </c>
      <c r="N450" s="152">
        <f>+IF(OR($Q450=Parametres!$G$2,$Q450=Parametres!$G$3),I450,C450)</f>
        <v>83442.47</v>
      </c>
      <c r="O450" s="152">
        <f>+IF(OR($Q450=Parametres!$G$2,$Q450=Parametres!$G$3),J450,D450)</f>
        <v>8513.2199999999993</v>
      </c>
      <c r="P450" s="152">
        <f>+IF(OR($Q450=Parametres!$G$2,$Q450=Parametres!$G$3),K450,E450)</f>
        <v>91955.69</v>
      </c>
      <c r="Q450" s="151" t="str">
        <f t="shared" ref="Q450:S465" si="32">+F450</f>
        <v>7-Dépenses</v>
      </c>
      <c r="R450" s="150" t="str">
        <f t="shared" si="32"/>
        <v>6132</v>
      </c>
      <c r="S450" s="151">
        <f t="shared" si="32"/>
        <v>0</v>
      </c>
      <c r="T450" s="153">
        <f>+VLOOKUP($L450,Data_Validation!$A:$D,1,0)</f>
        <v>6732</v>
      </c>
      <c r="U450" s="153" t="str">
        <f>+VLOOKUP($L450,Data_Validation!$A:$D,3,0)</f>
        <v>Pièces</v>
      </c>
      <c r="V450" s="153" t="str">
        <f>+VLOOKUP($L450,Data_Validation!$A:$D,4,0)</f>
        <v>Csst</v>
      </c>
      <c r="W450" s="153" t="str">
        <f>+VLOOKUP($L450,Data_Validation!$A:$E,5,0)</f>
        <v>$</v>
      </c>
      <c r="X450" s="153">
        <f>+VLOOKUP($L450,Data_Validation!$A:$F,6,0)</f>
        <v>0</v>
      </c>
    </row>
    <row r="451" spans="1:24" ht="15" customHeight="1">
      <c r="A451" s="1430" t="s">
        <v>1161</v>
      </c>
      <c r="B451" s="1431">
        <v>6733</v>
      </c>
      <c r="C451" s="1433">
        <v>433.77</v>
      </c>
      <c r="D451" s="1433">
        <v>51.43</v>
      </c>
      <c r="E451" s="1433">
        <v>485.2</v>
      </c>
      <c r="F451" s="1430" t="s">
        <v>398</v>
      </c>
      <c r="G451" s="1430" t="s">
        <v>2570</v>
      </c>
      <c r="H451" s="1241"/>
      <c r="I451" s="1243"/>
      <c r="J451" s="1243"/>
      <c r="K451" s="1243"/>
      <c r="L451" s="150">
        <f t="shared" si="18"/>
        <v>6733</v>
      </c>
      <c r="M451" s="151" t="str">
        <f t="shared" si="19"/>
        <v>FOND PENSION - PIECES</v>
      </c>
      <c r="N451" s="152">
        <f>+IF(OR($Q451=Parametres!$G$2,$Q451=Parametres!$G$3),I451,C451)</f>
        <v>433.77</v>
      </c>
      <c r="O451" s="152">
        <f>+IF(OR($Q451=Parametres!$G$2,$Q451=Parametres!$G$3),J451,D451)</f>
        <v>51.43</v>
      </c>
      <c r="P451" s="152">
        <f>+IF(OR($Q451=Parametres!$G$2,$Q451=Parametres!$G$3),K451,E451)</f>
        <v>485.2</v>
      </c>
      <c r="Q451" s="151" t="str">
        <f t="shared" si="32"/>
        <v>7-Dépenses</v>
      </c>
      <c r="R451" s="150" t="str">
        <f t="shared" si="32"/>
        <v>6133</v>
      </c>
      <c r="S451" s="151">
        <f t="shared" si="32"/>
        <v>0</v>
      </c>
      <c r="T451" s="153">
        <f>+VLOOKUP($L451,Data_Validation!$A:$D,1,0)</f>
        <v>6733</v>
      </c>
      <c r="U451" s="153" t="str">
        <f>+VLOOKUP($L451,Data_Validation!$A:$D,3,0)</f>
        <v>Pièces</v>
      </c>
      <c r="V451" s="153" t="str">
        <f>+VLOOKUP($L451,Data_Validation!$A:$D,4,0)</f>
        <v>Déduction à la source</v>
      </c>
      <c r="W451" s="153" t="str">
        <f>+VLOOKUP($L451,Data_Validation!$A:$E,5,0)</f>
        <v>$</v>
      </c>
      <c r="X451" s="153">
        <f>+VLOOKUP($L451,Data_Validation!$A:$F,6,0)</f>
        <v>0</v>
      </c>
    </row>
    <row r="452" spans="1:24" ht="15.75" customHeight="1">
      <c r="A452" s="1430" t="s">
        <v>1302</v>
      </c>
      <c r="B452" s="1431">
        <v>6739</v>
      </c>
      <c r="C452" s="1433">
        <v>24048.3</v>
      </c>
      <c r="D452" s="1433">
        <v>2155.52</v>
      </c>
      <c r="E452" s="1433">
        <v>26203.82</v>
      </c>
      <c r="F452" s="1430" t="s">
        <v>398</v>
      </c>
      <c r="G452" s="1430" t="s">
        <v>2685</v>
      </c>
      <c r="H452" s="1241"/>
      <c r="I452" s="1243"/>
      <c r="J452" s="1243"/>
      <c r="K452" s="1243"/>
      <c r="L452" s="150">
        <f t="shared" si="18"/>
        <v>6739</v>
      </c>
      <c r="M452" s="151" t="str">
        <f t="shared" si="19"/>
        <v>ASSURANCE GROUPE</v>
      </c>
      <c r="N452" s="152">
        <f>+IF(OR($Q452=Parametres!$G$2,$Q452=Parametres!$G$3),I452,C452)</f>
        <v>24048.3</v>
      </c>
      <c r="O452" s="152">
        <f>+IF(OR($Q452=Parametres!$G$2,$Q452=Parametres!$G$3),J452,D452)</f>
        <v>2155.52</v>
      </c>
      <c r="P452" s="152">
        <f>+IF(OR($Q452=Parametres!$G$2,$Q452=Parametres!$G$3),K452,E452)</f>
        <v>26203.82</v>
      </c>
      <c r="Q452" s="151" t="str">
        <f t="shared" si="32"/>
        <v>7-Dépenses</v>
      </c>
      <c r="R452" s="150" t="str">
        <f t="shared" si="32"/>
        <v>6139</v>
      </c>
      <c r="S452" s="151">
        <f t="shared" si="32"/>
        <v>0</v>
      </c>
      <c r="T452" s="153">
        <f>+VLOOKUP($L452,Data_Validation!$A:$D,1,0)</f>
        <v>6739</v>
      </c>
      <c r="U452" s="153" t="str">
        <f>+VLOOKUP($L452,Data_Validation!$A:$D,3,0)</f>
        <v>Pièces</v>
      </c>
      <c r="V452" s="153" t="str">
        <f>+VLOOKUP($L452,Data_Validation!$A:$D,4,0)</f>
        <v>Bénéfices marginaux</v>
      </c>
      <c r="W452" s="153" t="str">
        <f>+VLOOKUP($L452,Data_Validation!$A:$E,5,0)</f>
        <v>$</v>
      </c>
      <c r="X452" s="153">
        <f>+VLOOKUP($L452,Data_Validation!$A:$F,6,0)</f>
        <v>0</v>
      </c>
    </row>
    <row r="453" spans="1:24" ht="15" customHeight="1">
      <c r="A453" s="1430" t="s">
        <v>1154</v>
      </c>
      <c r="B453" s="1431">
        <v>6742</v>
      </c>
      <c r="C453" s="1433">
        <v>1414.38</v>
      </c>
      <c r="D453" s="1433">
        <v>16.23</v>
      </c>
      <c r="E453" s="1433">
        <v>1430.61</v>
      </c>
      <c r="F453" s="1430" t="s">
        <v>398</v>
      </c>
      <c r="G453" s="1430" t="s">
        <v>2554</v>
      </c>
      <c r="H453" s="1241"/>
      <c r="I453" s="1243"/>
      <c r="J453" s="1243"/>
      <c r="K453" s="1243"/>
      <c r="L453" s="150">
        <f t="shared" si="18"/>
        <v>6742</v>
      </c>
      <c r="M453" s="151" t="str">
        <f t="shared" si="19"/>
        <v>FOURNITURES &amp; PETITS OUTILS</v>
      </c>
      <c r="N453" s="152">
        <f>+IF(OR($Q453=Parametres!$G$2,$Q453=Parametres!$G$3),I453,C453)</f>
        <v>1414.38</v>
      </c>
      <c r="O453" s="152">
        <f>+IF(OR($Q453=Parametres!$G$2,$Q453=Parametres!$G$3),J453,D453)</f>
        <v>16.23</v>
      </c>
      <c r="P453" s="152">
        <f>+IF(OR($Q453=Parametres!$G$2,$Q453=Parametres!$G$3),K453,E453)</f>
        <v>1430.61</v>
      </c>
      <c r="Q453" s="151" t="str">
        <f t="shared" si="32"/>
        <v>7-Dépenses</v>
      </c>
      <c r="R453" s="150" t="str">
        <f t="shared" si="32"/>
        <v>6142</v>
      </c>
      <c r="S453" s="151">
        <f t="shared" si="32"/>
        <v>0</v>
      </c>
      <c r="T453" s="153">
        <f>+VLOOKUP($L453,Data_Validation!$A:$D,1,0)</f>
        <v>6742</v>
      </c>
      <c r="U453" s="153" t="str">
        <f>+VLOOKUP($L453,Data_Validation!$A:$D,3,0)</f>
        <v>Pièces</v>
      </c>
      <c r="V453" s="153" t="str">
        <f>+VLOOKUP($L453,Data_Validation!$A:$D,4,0)</f>
        <v>Fournitures autres</v>
      </c>
      <c r="W453" s="153" t="str">
        <f>+VLOOKUP($L453,Data_Validation!$A:$E,5,0)</f>
        <v>$</v>
      </c>
      <c r="X453" s="153">
        <f>+VLOOKUP($L453,Data_Validation!$A:$F,6,0)</f>
        <v>0</v>
      </c>
    </row>
    <row r="454" spans="1:24" ht="15" customHeight="1">
      <c r="A454" s="1430" t="s">
        <v>931</v>
      </c>
      <c r="B454" s="1431">
        <v>6744</v>
      </c>
      <c r="C454" s="1433">
        <v>471.4</v>
      </c>
      <c r="D454" s="1433">
        <v>22.14</v>
      </c>
      <c r="E454" s="1433">
        <v>493.54</v>
      </c>
      <c r="F454" s="1430" t="s">
        <v>398</v>
      </c>
      <c r="G454" s="1430" t="s">
        <v>2552</v>
      </c>
      <c r="H454" s="1233"/>
      <c r="I454" s="1234"/>
      <c r="J454" s="1234"/>
      <c r="K454" s="1234"/>
      <c r="L454" s="150">
        <f t="shared" si="18"/>
        <v>6744</v>
      </c>
      <c r="M454" s="151" t="str">
        <f t="shared" si="19"/>
        <v>FORMATION</v>
      </c>
      <c r="N454" s="152">
        <f>+IF(OR($Q454=Parametres!$G$2,$Q454=Parametres!$G$3),I454,C454)</f>
        <v>471.4</v>
      </c>
      <c r="O454" s="152">
        <f>+IF(OR($Q454=Parametres!$G$2,$Q454=Parametres!$G$3),J454,D454)</f>
        <v>22.14</v>
      </c>
      <c r="P454" s="152">
        <f>+IF(OR($Q454=Parametres!$G$2,$Q454=Parametres!$G$3),K454,E454)</f>
        <v>493.54</v>
      </c>
      <c r="Q454" s="151" t="str">
        <f t="shared" si="32"/>
        <v>7-Dépenses</v>
      </c>
      <c r="R454" s="150" t="str">
        <f t="shared" si="32"/>
        <v>6144</v>
      </c>
      <c r="S454" s="151">
        <f t="shared" si="32"/>
        <v>0</v>
      </c>
      <c r="T454" s="153">
        <f>+VLOOKUP($L454,Data_Validation!$A:$D,1,0)</f>
        <v>6744</v>
      </c>
      <c r="U454" s="153" t="str">
        <f>+VLOOKUP($L454,Data_Validation!$A:$D,3,0)</f>
        <v>Pièces</v>
      </c>
      <c r="V454" s="153" t="str">
        <f>+VLOOKUP($L454,Data_Validation!$A:$D,4,0)</f>
        <v>Formation</v>
      </c>
      <c r="W454" s="153" t="str">
        <f>+VLOOKUP($L454,Data_Validation!$A:$E,5,0)</f>
        <v>$</v>
      </c>
      <c r="X454" s="153">
        <f>+VLOOKUP($L454,Data_Validation!$A:$F,6,0)</f>
        <v>0</v>
      </c>
    </row>
    <row r="455" spans="1:24" ht="15" customHeight="1">
      <c r="A455" s="1430" t="s">
        <v>1183</v>
      </c>
      <c r="B455" s="1431">
        <v>6745</v>
      </c>
      <c r="C455" s="1433">
        <v>3028.05</v>
      </c>
      <c r="D455" s="1433">
        <v>318.04000000000002</v>
      </c>
      <c r="E455" s="1433">
        <v>3346.09</v>
      </c>
      <c r="F455" s="1430" t="s">
        <v>398</v>
      </c>
      <c r="G455" s="1430" t="s">
        <v>2623</v>
      </c>
      <c r="H455" s="1233"/>
      <c r="I455" s="1234"/>
      <c r="J455" s="1234"/>
      <c r="K455" s="1234"/>
      <c r="L455" s="150">
        <f t="shared" si="18"/>
        <v>6745</v>
      </c>
      <c r="M455" s="151" t="str">
        <f t="shared" si="19"/>
        <v>VEHICULE DE COMPAGNIE - DEPENS</v>
      </c>
      <c r="N455" s="152">
        <f>+IF(OR($Q455=Parametres!$G$2,$Q455=Parametres!$G$3),I455,C455)</f>
        <v>3028.05</v>
      </c>
      <c r="O455" s="152">
        <f>+IF(OR($Q455=Parametres!$G$2,$Q455=Parametres!$G$3),J455,D455)</f>
        <v>318.04000000000002</v>
      </c>
      <c r="P455" s="152">
        <f>+IF(OR($Q455=Parametres!$G$2,$Q455=Parametres!$G$3),K455,E455)</f>
        <v>3346.09</v>
      </c>
      <c r="Q455" s="151" t="str">
        <f t="shared" si="32"/>
        <v>7-Dépenses</v>
      </c>
      <c r="R455" s="150" t="str">
        <f t="shared" si="32"/>
        <v>6145</v>
      </c>
      <c r="S455" s="151">
        <f t="shared" si="32"/>
        <v>0</v>
      </c>
      <c r="T455" s="153">
        <f>+VLOOKUP($L455,Data_Validation!$A:$D,1,0)</f>
        <v>6745</v>
      </c>
      <c r="U455" s="153" t="str">
        <f>+VLOOKUP($L455,Data_Validation!$A:$D,3,0)</f>
        <v>Pièces</v>
      </c>
      <c r="V455" s="153" t="str">
        <f>+VLOOKUP($L455,Data_Validation!$A:$D,4,0)</f>
        <v>Frais véhicules de cie</v>
      </c>
      <c r="W455" s="153" t="str">
        <f>+VLOOKUP($L455,Data_Validation!$A:$E,5,0)</f>
        <v>$</v>
      </c>
      <c r="X455" s="153">
        <f>+VLOOKUP($L455,Data_Validation!$A:$F,6,0)</f>
        <v>0</v>
      </c>
    </row>
    <row r="456" spans="1:24" ht="15.75" customHeight="1">
      <c r="A456" s="1430" t="s">
        <v>1177</v>
      </c>
      <c r="B456" s="1431">
        <v>6747</v>
      </c>
      <c r="C456" s="1433">
        <v>267.92</v>
      </c>
      <c r="D456" s="1433">
        <v>66.66</v>
      </c>
      <c r="E456" s="1433">
        <v>334.58</v>
      </c>
      <c r="F456" s="1430" t="s">
        <v>398</v>
      </c>
      <c r="G456" s="1430" t="s">
        <v>2572</v>
      </c>
      <c r="H456" s="1233"/>
      <c r="I456" s="1234"/>
      <c r="J456" s="1234"/>
      <c r="K456" s="1234"/>
      <c r="L456" s="150">
        <f t="shared" si="18"/>
        <v>6747</v>
      </c>
      <c r="M456" s="151" t="str">
        <f t="shared" si="19"/>
        <v>FRET/EXPRESS/TRANS. PAR CAMION</v>
      </c>
      <c r="N456" s="152">
        <f>+IF(OR($Q456=Parametres!$G$2,$Q456=Parametres!$G$3),I456,C456)</f>
        <v>267.92</v>
      </c>
      <c r="O456" s="152">
        <f>+IF(OR($Q456=Parametres!$G$2,$Q456=Parametres!$G$3),J456,D456)</f>
        <v>66.66</v>
      </c>
      <c r="P456" s="152">
        <f>+IF(OR($Q456=Parametres!$G$2,$Q456=Parametres!$G$3),K456,E456)</f>
        <v>334.58</v>
      </c>
      <c r="Q456" s="151" t="str">
        <f t="shared" si="32"/>
        <v>7-Dépenses</v>
      </c>
      <c r="R456" s="150" t="str">
        <f t="shared" si="32"/>
        <v>6147</v>
      </c>
      <c r="S456" s="151">
        <f t="shared" si="32"/>
        <v>0</v>
      </c>
      <c r="T456" s="153">
        <f>+VLOOKUP($L456,Data_Validation!$A:$D,1,0)</f>
        <v>6747</v>
      </c>
      <c r="U456" s="153" t="str">
        <f>+VLOOKUP($L456,Data_Validation!$A:$D,3,0)</f>
        <v>Pièces</v>
      </c>
      <c r="V456" s="153" t="str">
        <f>+VLOOKUP($L456,Data_Validation!$A:$D,4,0)</f>
        <v>Frais postaux</v>
      </c>
      <c r="W456" s="153" t="str">
        <f>+VLOOKUP($L456,Data_Validation!$A:$E,5,0)</f>
        <v>$</v>
      </c>
      <c r="X456" s="153">
        <f>+VLOOKUP($L456,Data_Validation!$A:$F,6,0)</f>
        <v>0</v>
      </c>
    </row>
    <row r="457" spans="1:24" ht="15" customHeight="1">
      <c r="A457" s="1430" t="s">
        <v>1283</v>
      </c>
      <c r="B457" s="1431">
        <v>6751</v>
      </c>
      <c r="C457" s="1433">
        <v>37262.629999999997</v>
      </c>
      <c r="D457" s="1433">
        <v>3535.26</v>
      </c>
      <c r="E457" s="1433">
        <v>40797.89</v>
      </c>
      <c r="F457" s="1430" t="s">
        <v>398</v>
      </c>
      <c r="G457" s="1430" t="s">
        <v>2693</v>
      </c>
      <c r="H457" s="1233"/>
      <c r="I457" s="1234"/>
      <c r="J457" s="1234"/>
      <c r="K457" s="1234"/>
      <c r="L457" s="150">
        <f t="shared" si="18"/>
        <v>6751</v>
      </c>
      <c r="M457" s="151" t="str">
        <f t="shared" si="19"/>
        <v>DEP. DU TRAITEMENT DES DONNEES</v>
      </c>
      <c r="N457" s="152">
        <f>+IF(OR($Q457=Parametres!$G$2,$Q457=Parametres!$G$3),I457,C457)</f>
        <v>37262.629999999997</v>
      </c>
      <c r="O457" s="152">
        <f>+IF(OR($Q457=Parametres!$G$2,$Q457=Parametres!$G$3),J457,D457)</f>
        <v>3535.26</v>
      </c>
      <c r="P457" s="152">
        <f>+IF(OR($Q457=Parametres!$G$2,$Q457=Parametres!$G$3),K457,E457)</f>
        <v>40797.89</v>
      </c>
      <c r="Q457" s="151" t="str">
        <f t="shared" si="32"/>
        <v>7-Dépenses</v>
      </c>
      <c r="R457" s="150" t="str">
        <f t="shared" si="32"/>
        <v>6151</v>
      </c>
      <c r="S457" s="151">
        <f t="shared" si="32"/>
        <v>0</v>
      </c>
      <c r="T457" s="153">
        <f>+VLOOKUP($L457,Data_Validation!$A:$D,1,0)</f>
        <v>6751</v>
      </c>
      <c r="U457" s="153" t="str">
        <f>+VLOOKUP($L457,Data_Validation!$A:$D,3,0)</f>
        <v>Pièces</v>
      </c>
      <c r="V457" s="153" t="str">
        <f>+VLOOKUP($L457,Data_Validation!$A:$D,4,0)</f>
        <v>Informatique</v>
      </c>
      <c r="W457" s="153" t="str">
        <f>+VLOOKUP($L457,Data_Validation!$A:$E,5,0)</f>
        <v>$</v>
      </c>
      <c r="X457" s="153">
        <f>+VLOOKUP($L457,Data_Validation!$A:$F,6,0)</f>
        <v>0</v>
      </c>
    </row>
    <row r="458" spans="1:24" ht="15" customHeight="1">
      <c r="A458" s="1430" t="s">
        <v>1203</v>
      </c>
      <c r="B458" s="1431">
        <v>6752</v>
      </c>
      <c r="C458" s="1433">
        <v>4837.1099999999997</v>
      </c>
      <c r="D458" s="1433">
        <v>274.33</v>
      </c>
      <c r="E458" s="1433">
        <v>5111.4399999999996</v>
      </c>
      <c r="F458" s="1430" t="s">
        <v>398</v>
      </c>
      <c r="G458" s="1430" t="s">
        <v>2579</v>
      </c>
      <c r="H458" s="1233"/>
      <c r="I458" s="1234"/>
      <c r="J458" s="1234"/>
      <c r="K458" s="1234"/>
      <c r="L458" s="150">
        <f t="shared" si="18"/>
        <v>6752</v>
      </c>
      <c r="M458" s="151" t="str">
        <f t="shared" si="19"/>
        <v>PAPETERIE</v>
      </c>
      <c r="N458" s="152">
        <f>+IF(OR($Q458=Parametres!$G$2,$Q458=Parametres!$G$3),I458,C458)</f>
        <v>4837.1099999999997</v>
      </c>
      <c r="O458" s="152">
        <f>+IF(OR($Q458=Parametres!$G$2,$Q458=Parametres!$G$3),J458,D458)</f>
        <v>274.33</v>
      </c>
      <c r="P458" s="152">
        <f>+IF(OR($Q458=Parametres!$G$2,$Q458=Parametres!$G$3),K458,E458)</f>
        <v>5111.4399999999996</v>
      </c>
      <c r="Q458" s="151" t="str">
        <f t="shared" si="32"/>
        <v>7-Dépenses</v>
      </c>
      <c r="R458" s="150" t="str">
        <f t="shared" si="32"/>
        <v>6152</v>
      </c>
      <c r="S458" s="151">
        <f t="shared" si="32"/>
        <v>0</v>
      </c>
      <c r="T458" s="153">
        <f>+VLOOKUP($L458,Data_Validation!$A:$D,1,0)</f>
        <v>6752</v>
      </c>
      <c r="U458" s="153" t="str">
        <f>+VLOOKUP($L458,Data_Validation!$A:$D,3,0)</f>
        <v>Pièces</v>
      </c>
      <c r="V458" s="153" t="str">
        <f>+VLOOKUP($L458,Data_Validation!$A:$D,4,0)</f>
        <v>Papeterie</v>
      </c>
      <c r="W458" s="153" t="str">
        <f>+VLOOKUP($L458,Data_Validation!$A:$E,5,0)</f>
        <v>$</v>
      </c>
      <c r="X458" s="153">
        <f>+VLOOKUP($L458,Data_Validation!$A:$F,6,0)</f>
        <v>0</v>
      </c>
    </row>
    <row r="459" spans="1:24" ht="15" customHeight="1">
      <c r="A459" s="1430" t="s">
        <v>1151</v>
      </c>
      <c r="B459" s="1431">
        <v>6753</v>
      </c>
      <c r="C459" s="1433">
        <v>1525.04</v>
      </c>
      <c r="D459" s="1433">
        <v>96.47</v>
      </c>
      <c r="E459" s="1433">
        <v>1621.51</v>
      </c>
      <c r="F459" s="1430" t="s">
        <v>398</v>
      </c>
      <c r="G459" s="1430" t="s">
        <v>2583</v>
      </c>
      <c r="H459" s="1233"/>
      <c r="I459" s="1234"/>
      <c r="J459" s="1234"/>
      <c r="K459" s="1234"/>
      <c r="L459" s="150">
        <f t="shared" si="18"/>
        <v>6753</v>
      </c>
      <c r="M459" s="151" t="str">
        <f t="shared" si="19"/>
        <v>TELEPHONE ET TELEX</v>
      </c>
      <c r="N459" s="152">
        <f>+IF(OR($Q459=Parametres!$G$2,$Q459=Parametres!$G$3),I459,C459)</f>
        <v>1525.04</v>
      </c>
      <c r="O459" s="152">
        <f>+IF(OR($Q459=Parametres!$G$2,$Q459=Parametres!$G$3),J459,D459)</f>
        <v>96.47</v>
      </c>
      <c r="P459" s="152">
        <f>+IF(OR($Q459=Parametres!$G$2,$Q459=Parametres!$G$3),K459,E459)</f>
        <v>1621.51</v>
      </c>
      <c r="Q459" s="151" t="str">
        <f t="shared" si="32"/>
        <v>7-Dépenses</v>
      </c>
      <c r="R459" s="150" t="str">
        <f t="shared" si="32"/>
        <v>6153</v>
      </c>
      <c r="S459" s="151">
        <f t="shared" si="32"/>
        <v>0</v>
      </c>
      <c r="T459" s="153">
        <f>+VLOOKUP($L459,Data_Validation!$A:$D,1,0)</f>
        <v>6753</v>
      </c>
      <c r="U459" s="153" t="str">
        <f>+VLOOKUP($L459,Data_Validation!$A:$D,3,0)</f>
        <v>Pièces</v>
      </c>
      <c r="V459" s="153" t="str">
        <f>+VLOOKUP($L459,Data_Validation!$A:$D,4,0)</f>
        <v>Téléphone</v>
      </c>
      <c r="W459" s="153" t="str">
        <f>+VLOOKUP($L459,Data_Validation!$A:$E,5,0)</f>
        <v>$</v>
      </c>
      <c r="X459" s="153">
        <f>+VLOOKUP($L459,Data_Validation!$A:$F,6,0)</f>
        <v>0</v>
      </c>
    </row>
    <row r="460" spans="1:24" ht="15" customHeight="1">
      <c r="A460" s="1430" t="s">
        <v>1234</v>
      </c>
      <c r="B460" s="1431">
        <v>6755</v>
      </c>
      <c r="C460" s="1433">
        <v>5762.92</v>
      </c>
      <c r="D460" s="1433">
        <v>587.58000000000004</v>
      </c>
      <c r="E460" s="1433">
        <v>6350.5</v>
      </c>
      <c r="F460" s="1430" t="s">
        <v>398</v>
      </c>
      <c r="G460" s="1430" t="s">
        <v>2628</v>
      </c>
      <c r="H460" s="1233"/>
      <c r="I460" s="1234"/>
      <c r="J460" s="1234"/>
      <c r="K460" s="1234"/>
      <c r="L460" s="150">
        <f t="shared" si="18"/>
        <v>6755</v>
      </c>
      <c r="M460" s="151" t="str">
        <f t="shared" si="19"/>
        <v>DEPENSES DIVERS</v>
      </c>
      <c r="N460" s="152">
        <f>+IF(OR($Q460=Parametres!$G$2,$Q460=Parametres!$G$3),I460,C460)</f>
        <v>5762.92</v>
      </c>
      <c r="O460" s="152">
        <f>+IF(OR($Q460=Parametres!$G$2,$Q460=Parametres!$G$3),J460,D460)</f>
        <v>587.58000000000004</v>
      </c>
      <c r="P460" s="152">
        <f>+IF(OR($Q460=Parametres!$G$2,$Q460=Parametres!$G$3),K460,E460)</f>
        <v>6350.5</v>
      </c>
      <c r="Q460" s="151" t="str">
        <f t="shared" si="32"/>
        <v>7-Dépenses</v>
      </c>
      <c r="R460" s="150" t="str">
        <f t="shared" si="32"/>
        <v>6155</v>
      </c>
      <c r="S460" s="151">
        <f t="shared" si="32"/>
        <v>0</v>
      </c>
      <c r="T460" s="153">
        <f>+VLOOKUP($L460,Data_Validation!$A:$D,1,0)</f>
        <v>6755</v>
      </c>
      <c r="U460" s="153" t="str">
        <f>+VLOOKUP($L460,Data_Validation!$A:$D,3,0)</f>
        <v>Pièces</v>
      </c>
      <c r="V460" s="153" t="str">
        <f>+VLOOKUP($L460,Data_Validation!$A:$D,4,0)</f>
        <v>Divers</v>
      </c>
      <c r="W460" s="153" t="str">
        <f>+VLOOKUP($L460,Data_Validation!$A:$E,5,0)</f>
        <v>$</v>
      </c>
      <c r="X460" s="153">
        <f>+VLOOKUP($L460,Data_Validation!$A:$F,6,0)</f>
        <v>0</v>
      </c>
    </row>
    <row r="461" spans="1:24" ht="15" customHeight="1">
      <c r="A461" s="1430" t="s">
        <v>1291</v>
      </c>
      <c r="B461" s="1431">
        <v>6756</v>
      </c>
      <c r="C461" s="1433">
        <v>3715.94</v>
      </c>
      <c r="D461" s="1433">
        <v>448.8</v>
      </c>
      <c r="E461" s="1433">
        <v>4164.74</v>
      </c>
      <c r="F461" s="1430" t="s">
        <v>398</v>
      </c>
      <c r="G461" s="1430" t="s">
        <v>2461</v>
      </c>
      <c r="H461" s="1233"/>
      <c r="I461" s="1234"/>
      <c r="J461" s="1234"/>
      <c r="K461" s="1234"/>
      <c r="L461" s="150">
        <f t="shared" si="18"/>
        <v>6756</v>
      </c>
      <c r="M461" s="151" t="str">
        <f t="shared" si="19"/>
        <v>FRAIS REPRESENTATION - PIECES</v>
      </c>
      <c r="N461" s="152">
        <f>+IF(OR($Q461=Parametres!$G$2,$Q461=Parametres!$G$3),I461,C461)</f>
        <v>3715.94</v>
      </c>
      <c r="O461" s="152">
        <f>+IF(OR($Q461=Parametres!$G$2,$Q461=Parametres!$G$3),J461,D461)</f>
        <v>448.8</v>
      </c>
      <c r="P461" s="152">
        <f>+IF(OR($Q461=Parametres!$G$2,$Q461=Parametres!$G$3),K461,E461)</f>
        <v>4164.74</v>
      </c>
      <c r="Q461" s="151" t="str">
        <f t="shared" si="32"/>
        <v>7-Dépenses</v>
      </c>
      <c r="R461" s="150" t="str">
        <f t="shared" si="32"/>
        <v>6156</v>
      </c>
      <c r="S461" s="151">
        <f t="shared" si="32"/>
        <v>0</v>
      </c>
      <c r="T461" s="153">
        <f>+VLOOKUP($L461,Data_Validation!$A:$D,1,0)</f>
        <v>6756</v>
      </c>
      <c r="U461" s="153" t="str">
        <f>+VLOOKUP($L461,Data_Validation!$A:$D,3,0)</f>
        <v>Pièces</v>
      </c>
      <c r="V461" s="153" t="str">
        <f>+VLOOKUP($L461,Data_Validation!$A:$D,4,0)</f>
        <v>Frais de déplacement</v>
      </c>
      <c r="W461" s="153" t="str">
        <f>+VLOOKUP($L461,Data_Validation!$A:$E,5,0)</f>
        <v>$</v>
      </c>
      <c r="X461" s="153">
        <f>+VLOOKUP($L461,Data_Validation!$A:$F,6,0)</f>
        <v>0</v>
      </c>
    </row>
    <row r="462" spans="1:24" ht="15.75" customHeight="1">
      <c r="A462" s="1430" t="s">
        <v>1305</v>
      </c>
      <c r="B462" s="1431">
        <v>6759</v>
      </c>
      <c r="C462" s="1433">
        <v>59218.01</v>
      </c>
      <c r="D462" s="1433">
        <v>8580</v>
      </c>
      <c r="E462" s="1433">
        <v>67798.009999999995</v>
      </c>
      <c r="F462" s="1430" t="s">
        <v>398</v>
      </c>
      <c r="G462" s="1430" t="s">
        <v>2653</v>
      </c>
      <c r="H462" s="1233"/>
      <c r="I462" s="1234"/>
      <c r="J462" s="1234"/>
      <c r="K462" s="1234"/>
      <c r="L462" s="150">
        <f t="shared" si="18"/>
        <v>6759</v>
      </c>
      <c r="M462" s="151" t="str">
        <f t="shared" si="19"/>
        <v>SERVICE EXTERIEUR</v>
      </c>
      <c r="N462" s="152">
        <f>+IF(OR($Q462=Parametres!$G$2,$Q462=Parametres!$G$3),I462,C462)</f>
        <v>59218.01</v>
      </c>
      <c r="O462" s="152">
        <f>+IF(OR($Q462=Parametres!$G$2,$Q462=Parametres!$G$3),J462,D462)</f>
        <v>8580</v>
      </c>
      <c r="P462" s="152">
        <f>+IF(OR($Q462=Parametres!$G$2,$Q462=Parametres!$G$3),K462,E462)</f>
        <v>67798.009999999995</v>
      </c>
      <c r="Q462" s="151" t="str">
        <f t="shared" si="32"/>
        <v>7-Dépenses</v>
      </c>
      <c r="R462" s="150" t="str">
        <f t="shared" si="32"/>
        <v>6159</v>
      </c>
      <c r="S462" s="151">
        <f t="shared" si="32"/>
        <v>0</v>
      </c>
      <c r="T462" s="153">
        <f>+VLOOKUP($L462,Data_Validation!$A:$D,1,0)</f>
        <v>6759</v>
      </c>
      <c r="U462" s="153" t="str">
        <f>+VLOOKUP($L462,Data_Validation!$A:$D,3,0)</f>
        <v>Pièces</v>
      </c>
      <c r="V462" s="153" t="str">
        <f>+VLOOKUP($L462,Data_Validation!$A:$D,4,0)</f>
        <v>Services extérieurs</v>
      </c>
      <c r="W462" s="153" t="str">
        <f>+VLOOKUP($L462,Data_Validation!$A:$E,5,0)</f>
        <v>$</v>
      </c>
      <c r="X462" s="153">
        <f>+VLOOKUP($L462,Data_Validation!$A:$F,6,0)</f>
        <v>0</v>
      </c>
    </row>
    <row r="463" spans="1:24" ht="15" customHeight="1">
      <c r="A463" s="1430" t="s">
        <v>1330</v>
      </c>
      <c r="B463" s="1431">
        <v>6761</v>
      </c>
      <c r="C463" s="1433">
        <v>10984.85</v>
      </c>
      <c r="D463" s="1433">
        <v>1554.37</v>
      </c>
      <c r="E463" s="1433">
        <v>12539.22</v>
      </c>
      <c r="F463" s="1430" t="s">
        <v>398</v>
      </c>
      <c r="G463" s="1430" t="s">
        <v>2644</v>
      </c>
      <c r="H463" s="1233"/>
      <c r="I463" s="1234"/>
      <c r="J463" s="1234"/>
      <c r="K463" s="1234"/>
      <c r="L463" s="150">
        <f t="shared" si="18"/>
        <v>6761</v>
      </c>
      <c r="M463" s="151" t="str">
        <f t="shared" si="19"/>
        <v>DEPRECIATION EQUIP. &amp; FIXTURES</v>
      </c>
      <c r="N463" s="152">
        <f>+IF(OR($Q463=Parametres!$G$2,$Q463=Parametres!$G$3),I463,C463)</f>
        <v>10984.85</v>
      </c>
      <c r="O463" s="152">
        <f>+IF(OR($Q463=Parametres!$G$2,$Q463=Parametres!$G$3),J463,D463)</f>
        <v>1554.37</v>
      </c>
      <c r="P463" s="152">
        <f>+IF(OR($Q463=Parametres!$G$2,$Q463=Parametres!$G$3),K463,E463)</f>
        <v>12539.22</v>
      </c>
      <c r="Q463" s="151" t="str">
        <f t="shared" si="32"/>
        <v>7-Dépenses</v>
      </c>
      <c r="R463" s="150" t="str">
        <f t="shared" si="32"/>
        <v>6161</v>
      </c>
      <c r="S463" s="151">
        <f t="shared" si="32"/>
        <v>0</v>
      </c>
      <c r="T463" s="153">
        <f>+VLOOKUP($L463,Data_Validation!$A:$D,1,0)</f>
        <v>6761</v>
      </c>
      <c r="U463" s="153" t="str">
        <f>+VLOOKUP($L463,Data_Validation!$A:$D,3,0)</f>
        <v>Pièces</v>
      </c>
      <c r="V463" s="153" t="str">
        <f>+VLOOKUP($L463,Data_Validation!$A:$D,4,0)</f>
        <v>Amortissement</v>
      </c>
      <c r="W463" s="153" t="str">
        <f>+VLOOKUP($L463,Data_Validation!$A:$E,5,0)</f>
        <v>$</v>
      </c>
      <c r="X463" s="153">
        <f>+VLOOKUP($L463,Data_Validation!$A:$F,6,0)</f>
        <v>0</v>
      </c>
    </row>
    <row r="464" spans="1:24" ht="15" customHeight="1">
      <c r="A464" s="1430" t="s">
        <v>1313</v>
      </c>
      <c r="B464" s="1431">
        <v>6781</v>
      </c>
      <c r="C464" s="1433">
        <v>6535.83</v>
      </c>
      <c r="D464" s="1433">
        <v>866.23</v>
      </c>
      <c r="E464" s="1433">
        <v>7402.06</v>
      </c>
      <c r="F464" s="1430" t="s">
        <v>398</v>
      </c>
      <c r="G464" s="1430" t="s">
        <v>2595</v>
      </c>
      <c r="H464" s="1233"/>
      <c r="I464" s="1234"/>
      <c r="J464" s="1234"/>
      <c r="K464" s="1234"/>
      <c r="L464" s="150">
        <f t="shared" si="18"/>
        <v>6781</v>
      </c>
      <c r="M464" s="151" t="str">
        <f t="shared" si="19"/>
        <v>CHAUFFAGE,ELECTRICITE,EAU-PIECES</v>
      </c>
      <c r="N464" s="152">
        <f>+IF(OR($Q464=Parametres!$G$2,$Q464=Parametres!$G$3),I464,C464)</f>
        <v>6535.83</v>
      </c>
      <c r="O464" s="152">
        <f>+IF(OR($Q464=Parametres!$G$2,$Q464=Parametres!$G$3),J464,D464)</f>
        <v>866.23</v>
      </c>
      <c r="P464" s="152">
        <f>+IF(OR($Q464=Parametres!$G$2,$Q464=Parametres!$G$3),K464,E464)</f>
        <v>7402.06</v>
      </c>
      <c r="Q464" s="151" t="str">
        <f t="shared" si="32"/>
        <v>7-Dépenses</v>
      </c>
      <c r="R464" s="150" t="str">
        <f t="shared" si="32"/>
        <v>6181</v>
      </c>
      <c r="S464" s="151">
        <f t="shared" si="32"/>
        <v>0</v>
      </c>
      <c r="T464" s="153">
        <f>+VLOOKUP($L464,Data_Validation!$A:$D,1,0)</f>
        <v>6781</v>
      </c>
      <c r="U464" s="153" t="str">
        <f>+VLOOKUP($L464,Data_Validation!$A:$D,3,0)</f>
        <v>Pièces</v>
      </c>
      <c r="V464" s="153" t="str">
        <f>+VLOOKUP($L464,Data_Validation!$A:$D,4,0)</f>
        <v>Chauffage, éclairage</v>
      </c>
      <c r="W464" s="153" t="str">
        <f>+VLOOKUP($L464,Data_Validation!$A:$E,5,0)</f>
        <v>$</v>
      </c>
      <c r="X464" s="153">
        <f>+VLOOKUP($L464,Data_Validation!$A:$F,6,0)</f>
        <v>0</v>
      </c>
    </row>
    <row r="465" spans="1:24" ht="15" customHeight="1">
      <c r="A465" s="1430" t="s">
        <v>1454</v>
      </c>
      <c r="B465" s="1431">
        <v>6782</v>
      </c>
      <c r="C465" s="1433">
        <v>65000</v>
      </c>
      <c r="D465" s="1433">
        <v>6500</v>
      </c>
      <c r="E465" s="1433">
        <v>71500</v>
      </c>
      <c r="F465" s="1430" t="s">
        <v>398</v>
      </c>
      <c r="G465" s="1430" t="s">
        <v>2700</v>
      </c>
      <c r="H465" s="1233"/>
      <c r="I465" s="1234"/>
      <c r="J465" s="1234"/>
      <c r="K465" s="1234"/>
      <c r="L465" s="150">
        <f t="shared" si="18"/>
        <v>6782</v>
      </c>
      <c r="M465" s="151" t="str">
        <f t="shared" si="19"/>
        <v>LOYER - PIECES</v>
      </c>
      <c r="N465" s="152">
        <f>+IF(OR($Q465=Parametres!$G$2,$Q465=Parametres!$G$3),I465,C465)</f>
        <v>65000</v>
      </c>
      <c r="O465" s="152">
        <f>+IF(OR($Q465=Parametres!$G$2,$Q465=Parametres!$G$3),J465,D465)</f>
        <v>6500</v>
      </c>
      <c r="P465" s="152">
        <f>+IF(OR($Q465=Parametres!$G$2,$Q465=Parametres!$G$3),K465,E465)</f>
        <v>71500</v>
      </c>
      <c r="Q465" s="151" t="str">
        <f t="shared" si="32"/>
        <v>7-Dépenses</v>
      </c>
      <c r="R465" s="150" t="str">
        <f t="shared" si="32"/>
        <v>6182</v>
      </c>
      <c r="S465" s="151">
        <f t="shared" si="32"/>
        <v>0</v>
      </c>
      <c r="T465" s="153">
        <f>+VLOOKUP($L465,Data_Validation!$A:$D,1,0)</f>
        <v>6782</v>
      </c>
      <c r="U465" s="153" t="str">
        <f>+VLOOKUP($L465,Data_Validation!$A:$D,3,0)</f>
        <v>Pièces</v>
      </c>
      <c r="V465" s="153" t="str">
        <f>+VLOOKUP($L465,Data_Validation!$A:$D,4,0)</f>
        <v>Loyer</v>
      </c>
      <c r="W465" s="153" t="str">
        <f>+VLOOKUP($L465,Data_Validation!$A:$E,5,0)</f>
        <v>$</v>
      </c>
      <c r="X465" s="153">
        <f>+VLOOKUP($L465,Data_Validation!$A:$F,6,0)</f>
        <v>0</v>
      </c>
    </row>
    <row r="466" spans="1:24" ht="15" customHeight="1">
      <c r="A466" s="1430" t="s">
        <v>1349</v>
      </c>
      <c r="B466" s="1431">
        <v>6786</v>
      </c>
      <c r="C466" s="1433">
        <v>9270.2000000000007</v>
      </c>
      <c r="D466" s="1433">
        <v>927.02</v>
      </c>
      <c r="E466" s="1433">
        <v>10197.219999999999</v>
      </c>
      <c r="F466" s="1430" t="s">
        <v>398</v>
      </c>
      <c r="G466" s="1430" t="s">
        <v>2585</v>
      </c>
      <c r="H466" s="1233"/>
      <c r="I466" s="1234"/>
      <c r="J466" s="1234"/>
      <c r="K466" s="1234"/>
      <c r="L466" s="150">
        <f t="shared" si="18"/>
        <v>6786</v>
      </c>
      <c r="M466" s="151" t="str">
        <f t="shared" si="19"/>
        <v>ASSURANCE BATISSE &amp; AMEL.-PIECES</v>
      </c>
      <c r="N466" s="152">
        <f>+IF(OR($Q466=Parametres!$G$2,$Q466=Parametres!$G$3),I466,C466)</f>
        <v>9270.2000000000007</v>
      </c>
      <c r="O466" s="152">
        <f>+IF(OR($Q466=Parametres!$G$2,$Q466=Parametres!$G$3),J466,D466)</f>
        <v>927.02</v>
      </c>
      <c r="P466" s="152">
        <f>+IF(OR($Q466=Parametres!$G$2,$Q466=Parametres!$G$3),K466,E466)</f>
        <v>10197.219999999999</v>
      </c>
      <c r="Q466" s="151" t="str">
        <f t="shared" ref="Q466:S481" si="33">+F466</f>
        <v>7-Dépenses</v>
      </c>
      <c r="R466" s="150" t="str">
        <f t="shared" si="33"/>
        <v>6186</v>
      </c>
      <c r="S466" s="151">
        <f t="shared" si="33"/>
        <v>0</v>
      </c>
      <c r="T466" s="153">
        <f>+VLOOKUP($L466,Data_Validation!$A:$D,1,0)</f>
        <v>6786</v>
      </c>
      <c r="U466" s="153" t="str">
        <f>+VLOOKUP($L466,Data_Validation!$A:$D,3,0)</f>
        <v>Pièces</v>
      </c>
      <c r="V466" s="153" t="str">
        <f>+VLOOKUP($L466,Data_Validation!$A:$D,4,0)</f>
        <v>Assurances</v>
      </c>
      <c r="W466" s="153" t="str">
        <f>+VLOOKUP($L466,Data_Validation!$A:$E,5,0)</f>
        <v>$</v>
      </c>
      <c r="X466" s="153">
        <f>+VLOOKUP($L466,Data_Validation!$A:$F,6,0)</f>
        <v>0</v>
      </c>
    </row>
    <row r="467" spans="1:24" ht="15.75" customHeight="1">
      <c r="A467" s="1430" t="s">
        <v>1341</v>
      </c>
      <c r="B467" s="1431">
        <v>6787</v>
      </c>
      <c r="C467" s="1433">
        <v>12025</v>
      </c>
      <c r="D467" s="1433">
        <v>1202.5</v>
      </c>
      <c r="E467" s="1433">
        <v>13227.5</v>
      </c>
      <c r="F467" s="1430" t="s">
        <v>398</v>
      </c>
      <c r="G467" s="1430" t="s">
        <v>2605</v>
      </c>
      <c r="H467" s="1233"/>
      <c r="I467" s="1234"/>
      <c r="J467" s="1234"/>
      <c r="K467" s="1234"/>
      <c r="L467" s="150">
        <f t="shared" si="18"/>
        <v>6787</v>
      </c>
      <c r="M467" s="151" t="str">
        <f t="shared" si="19"/>
        <v>TAXES FONCIERES - PIECES</v>
      </c>
      <c r="N467" s="152">
        <f>+IF(OR($Q467=Parametres!$G$2,$Q467=Parametres!$G$3),I467,C467)</f>
        <v>12025</v>
      </c>
      <c r="O467" s="152">
        <f>+IF(OR($Q467=Parametres!$G$2,$Q467=Parametres!$G$3),J467,D467)</f>
        <v>1202.5</v>
      </c>
      <c r="P467" s="152">
        <f>+IF(OR($Q467=Parametres!$G$2,$Q467=Parametres!$G$3),K467,E467)</f>
        <v>13227.5</v>
      </c>
      <c r="Q467" s="151" t="str">
        <f t="shared" si="33"/>
        <v>7-Dépenses</v>
      </c>
      <c r="R467" s="150" t="str">
        <f t="shared" si="33"/>
        <v>6187</v>
      </c>
      <c r="S467" s="151">
        <f t="shared" si="33"/>
        <v>0</v>
      </c>
      <c r="T467" s="153">
        <f>+VLOOKUP($L467,Data_Validation!$A:$D,1,0)</f>
        <v>6787</v>
      </c>
      <c r="U467" s="153" t="str">
        <f>+VLOOKUP($L467,Data_Validation!$A:$D,3,0)</f>
        <v>Pièces</v>
      </c>
      <c r="V467" s="153" t="str">
        <f>+VLOOKUP($L467,Data_Validation!$A:$D,4,0)</f>
        <v>Taxes foncières</v>
      </c>
      <c r="W467" s="153" t="str">
        <f>+VLOOKUP($L467,Data_Validation!$A:$E,5,0)</f>
        <v>$</v>
      </c>
      <c r="X467" s="153">
        <f>+VLOOKUP($L467,Data_Validation!$A:$F,6,0)</f>
        <v>0</v>
      </c>
    </row>
    <row r="468" spans="1:24" ht="15" customHeight="1">
      <c r="A468" s="1430" t="s">
        <v>1275</v>
      </c>
      <c r="B468" s="1431">
        <v>6793</v>
      </c>
      <c r="C468" s="1433">
        <v>8000</v>
      </c>
      <c r="D468" s="1433">
        <v>800</v>
      </c>
      <c r="E468" s="1433">
        <v>8800</v>
      </c>
      <c r="F468" s="1430" t="s">
        <v>398</v>
      </c>
      <c r="G468" s="1430" t="s">
        <v>2588</v>
      </c>
      <c r="H468" s="1233"/>
      <c r="I468" s="1234"/>
      <c r="J468" s="1234"/>
      <c r="K468" s="1234"/>
      <c r="L468" s="150">
        <f t="shared" si="18"/>
        <v>6793</v>
      </c>
      <c r="M468" s="151" t="str">
        <f t="shared" si="19"/>
        <v>AUTRES TAXES - PIECES</v>
      </c>
      <c r="N468" s="152">
        <f>+IF(OR($Q468=Parametres!$G$2,$Q468=Parametres!$G$3),I468,C468)</f>
        <v>8000</v>
      </c>
      <c r="O468" s="152">
        <f>+IF(OR($Q468=Parametres!$G$2,$Q468=Parametres!$G$3),J468,D468)</f>
        <v>800</v>
      </c>
      <c r="P468" s="152">
        <f>+IF(OR($Q468=Parametres!$G$2,$Q468=Parametres!$G$3),K468,E468)</f>
        <v>8800</v>
      </c>
      <c r="Q468" s="151" t="str">
        <f t="shared" si="33"/>
        <v>7-Dépenses</v>
      </c>
      <c r="R468" s="150" t="str">
        <f t="shared" si="33"/>
        <v>6193</v>
      </c>
      <c r="S468" s="151">
        <f t="shared" si="33"/>
        <v>0</v>
      </c>
      <c r="T468" s="153">
        <f>+VLOOKUP($L468,Data_Validation!$A:$D,1,0)</f>
        <v>6793</v>
      </c>
      <c r="U468" s="153" t="str">
        <f>+VLOOKUP($L468,Data_Validation!$A:$D,3,0)</f>
        <v>Pièces</v>
      </c>
      <c r="V468" s="153" t="str">
        <f>+VLOOKUP($L468,Data_Validation!$A:$D,4,0)</f>
        <v>Taxes d`affaires</v>
      </c>
      <c r="W468" s="153" t="str">
        <f>+VLOOKUP($L468,Data_Validation!$A:$E,5,0)</f>
        <v>$</v>
      </c>
      <c r="X468" s="153">
        <f>+VLOOKUP($L468,Data_Validation!$A:$F,6,0)</f>
        <v>0</v>
      </c>
    </row>
    <row r="469" spans="1:24" ht="15" customHeight="1">
      <c r="A469" s="1430" t="s">
        <v>1368</v>
      </c>
      <c r="B469" s="1431">
        <v>6794</v>
      </c>
      <c r="C469" s="1433">
        <v>16089.28</v>
      </c>
      <c r="D469" s="1433">
        <v>1554.26</v>
      </c>
      <c r="E469" s="1433">
        <v>17643.54</v>
      </c>
      <c r="F469" s="1430" t="s">
        <v>398</v>
      </c>
      <c r="G469" s="1430" t="s">
        <v>2626</v>
      </c>
      <c r="H469" s="1233"/>
      <c r="I469" s="1234"/>
      <c r="J469" s="1234"/>
      <c r="K469" s="1234"/>
      <c r="L469" s="150">
        <f t="shared" si="18"/>
        <v>6794</v>
      </c>
      <c r="M469" s="151" t="str">
        <f t="shared" si="19"/>
        <v>FRAIS PROFESSIONNEL-PIECES</v>
      </c>
      <c r="N469" s="152">
        <f>+IF(OR($Q469=Parametres!$G$2,$Q469=Parametres!$G$3),I469,C469)</f>
        <v>16089.28</v>
      </c>
      <c r="O469" s="152">
        <f>+IF(OR($Q469=Parametres!$G$2,$Q469=Parametres!$G$3),J469,D469)</f>
        <v>1554.26</v>
      </c>
      <c r="P469" s="152">
        <f>+IF(OR($Q469=Parametres!$G$2,$Q469=Parametres!$G$3),K469,E469)</f>
        <v>17643.54</v>
      </c>
      <c r="Q469" s="151" t="str">
        <f t="shared" si="33"/>
        <v>7-Dépenses</v>
      </c>
      <c r="R469" s="150" t="str">
        <f t="shared" si="33"/>
        <v>6194</v>
      </c>
      <c r="S469" s="151">
        <f t="shared" si="33"/>
        <v>0</v>
      </c>
      <c r="T469" s="153">
        <f>+VLOOKUP($L469,Data_Validation!$A:$D,1,0)</f>
        <v>6794</v>
      </c>
      <c r="U469" s="153" t="str">
        <f>+VLOOKUP($L469,Data_Validation!$A:$D,3,0)</f>
        <v>Pièces</v>
      </c>
      <c r="V469" s="153" t="str">
        <f>+VLOOKUP($L469,Data_Validation!$A:$D,4,0)</f>
        <v>Honoraires</v>
      </c>
      <c r="W469" s="153" t="str">
        <f>+VLOOKUP($L469,Data_Validation!$A:$E,5,0)</f>
        <v>$</v>
      </c>
      <c r="X469" s="153">
        <f>+VLOOKUP($L469,Data_Validation!$A:$F,6,0)</f>
        <v>0</v>
      </c>
    </row>
    <row r="470" spans="1:24" ht="15" customHeight="1">
      <c r="A470" s="1430" t="s">
        <v>1902</v>
      </c>
      <c r="B470" s="1431">
        <v>6795</v>
      </c>
      <c r="C470" s="1433">
        <v>0</v>
      </c>
      <c r="D470" s="1433">
        <v>35</v>
      </c>
      <c r="E470" s="1433">
        <v>35</v>
      </c>
      <c r="F470" s="1430" t="s">
        <v>398</v>
      </c>
      <c r="G470" s="1430" t="s">
        <v>3613</v>
      </c>
      <c r="H470" s="1233"/>
      <c r="I470" s="1234"/>
      <c r="J470" s="1234"/>
      <c r="K470" s="1234"/>
      <c r="L470" s="150">
        <f t="shared" si="18"/>
        <v>6795</v>
      </c>
      <c r="M470" s="151" t="str">
        <f t="shared" si="19"/>
        <v>CONRIBUTION - PIECES</v>
      </c>
      <c r="N470" s="152">
        <f>+IF(OR($Q470=Parametres!$G$2,$Q470=Parametres!$G$3),I470,C470)</f>
        <v>0</v>
      </c>
      <c r="O470" s="152">
        <f>+IF(OR($Q470=Parametres!$G$2,$Q470=Parametres!$G$3),J470,D470)</f>
        <v>35</v>
      </c>
      <c r="P470" s="152">
        <f>+IF(OR($Q470=Parametres!$G$2,$Q470=Parametres!$G$3),K470,E470)</f>
        <v>35</v>
      </c>
      <c r="Q470" s="151" t="str">
        <f t="shared" si="33"/>
        <v>7-Dépenses</v>
      </c>
      <c r="R470" s="150" t="str">
        <f t="shared" si="33"/>
        <v>6195</v>
      </c>
      <c r="S470" s="151">
        <f t="shared" si="33"/>
        <v>0</v>
      </c>
      <c r="T470" s="153">
        <f>+VLOOKUP($L470,Data_Validation!$A:$D,1,0)</f>
        <v>6795</v>
      </c>
      <c r="U470" s="153" t="str">
        <f>+VLOOKUP($L470,Data_Validation!$A:$D,3,0)</f>
        <v>Pièces</v>
      </c>
      <c r="V470" s="153" t="str">
        <f>+VLOOKUP($L470,Data_Validation!$A:$D,4,0)</f>
        <v>Dons</v>
      </c>
      <c r="W470" s="153" t="str">
        <f>+VLOOKUP($L470,Data_Validation!$A:$E,5,0)</f>
        <v>$</v>
      </c>
      <c r="X470" s="153">
        <f>+VLOOKUP($L470,Data_Validation!$A:$F,6,0)</f>
        <v>0</v>
      </c>
    </row>
    <row r="471" spans="1:24" ht="15" customHeight="1">
      <c r="A471" s="1430" t="s">
        <v>2046</v>
      </c>
      <c r="B471" s="1431">
        <v>9149</v>
      </c>
      <c r="C471" s="1433">
        <v>-712005.5</v>
      </c>
      <c r="D471" s="1433">
        <v>-53201.15</v>
      </c>
      <c r="E471" s="1433">
        <v>-765206.65</v>
      </c>
      <c r="F471" s="1430" t="s">
        <v>301</v>
      </c>
      <c r="G471" s="1430" t="s">
        <v>2048</v>
      </c>
      <c r="H471" s="1233"/>
      <c r="I471" s="1234"/>
      <c r="J471" s="1234"/>
      <c r="K471" s="1234"/>
      <c r="L471" s="150">
        <f t="shared" si="18"/>
        <v>9149</v>
      </c>
      <c r="M471" s="151" t="str">
        <f t="shared" si="19"/>
        <v>REVENU RESERVE VOLKS</v>
      </c>
      <c r="N471" s="152">
        <f>+IF(OR($Q471=Parametres!$G$2,$Q471=Parametres!$G$3),I471,C471)</f>
        <v>-712005.5</v>
      </c>
      <c r="O471" s="569">
        <f>+IF(OR($Q471=Parametres!$G$2,$Q471=Parametres!$G$3),J471,D471)</f>
        <v>-53201.15</v>
      </c>
      <c r="P471" s="152">
        <f>+IF(OR($Q471=Parametres!$G$2,$Q471=Parametres!$G$3),K471,E471)</f>
        <v>-765206.65</v>
      </c>
      <c r="Q471" s="151" t="str">
        <f t="shared" si="33"/>
        <v>8-Autres revenus</v>
      </c>
      <c r="R471" s="150" t="str">
        <f t="shared" si="33"/>
        <v>9101</v>
      </c>
      <c r="S471" s="151">
        <f t="shared" si="33"/>
        <v>0</v>
      </c>
      <c r="T471" s="153">
        <f>+VLOOKUP($L471,Data_Validation!$A:$D,1,0)</f>
        <v>9149</v>
      </c>
      <c r="U471" s="153" t="str">
        <f>+VLOOKUP($L471,Data_Validation!$A:$D,3,0)</f>
        <v>Véhicules neufs</v>
      </c>
      <c r="V471" s="153" t="str">
        <f>+VLOOKUP($L471,Data_Validation!$A:$D,4,0)</f>
        <v>Holdbacks</v>
      </c>
      <c r="W471" s="153" t="str">
        <f>+VLOOKUP($L471,Data_Validation!$A:$E,5,0)</f>
        <v>$</v>
      </c>
      <c r="X471" s="153">
        <f>+VLOOKUP($L471,Data_Validation!$A:$F,6,0)</f>
        <v>0</v>
      </c>
    </row>
    <row r="472" spans="1:24" ht="15" customHeight="1">
      <c r="A472" s="1430" t="s">
        <v>2131</v>
      </c>
      <c r="B472" s="1431">
        <v>9152</v>
      </c>
      <c r="C472" s="1433">
        <v>-71804.41</v>
      </c>
      <c r="D472" s="1433">
        <v>-13150.15</v>
      </c>
      <c r="E472" s="1433">
        <v>-84954.559999999998</v>
      </c>
      <c r="F472" s="1430" t="s">
        <v>301</v>
      </c>
      <c r="G472" s="1430" t="s">
        <v>2132</v>
      </c>
      <c r="H472" s="1233"/>
      <c r="I472" s="1234"/>
      <c r="J472" s="1234"/>
      <c r="K472" s="1234"/>
      <c r="L472" s="150">
        <f t="shared" si="18"/>
        <v>9152</v>
      </c>
      <c r="M472" s="151" t="str">
        <f t="shared" si="19"/>
        <v>ESCOMPTES SUR ACHAT PIECES</v>
      </c>
      <c r="N472" s="152">
        <f>+IF(OR($Q472=Parametres!$G$2,$Q472=Parametres!$G$3),I472,C472)</f>
        <v>-71804.41</v>
      </c>
      <c r="O472" s="152">
        <f>+IF(OR($Q472=Parametres!$G$2,$Q472=Parametres!$G$3),J472,D472)</f>
        <v>-13150.15</v>
      </c>
      <c r="P472" s="152">
        <f>+IF(OR($Q472=Parametres!$G$2,$Q472=Parametres!$G$3),K472,E472)</f>
        <v>-84954.559999999998</v>
      </c>
      <c r="Q472" s="151" t="str">
        <f t="shared" si="33"/>
        <v>8-Autres revenus</v>
      </c>
      <c r="R472" s="150" t="str">
        <f t="shared" si="33"/>
        <v>9152</v>
      </c>
      <c r="S472" s="151">
        <f t="shared" si="33"/>
        <v>0</v>
      </c>
      <c r="T472" s="153">
        <f>+VLOOKUP($L472,Data_Validation!$A:$D,1,0)</f>
        <v>9152</v>
      </c>
      <c r="U472" s="153" t="str">
        <f>+VLOOKUP($L472,Data_Validation!$A:$D,3,0)</f>
        <v>Pièces</v>
      </c>
      <c r="V472" s="153" t="str">
        <f>+VLOOKUP($L472,Data_Validation!$A:$D,4,0)</f>
        <v>Escomptes</v>
      </c>
      <c r="W472" s="153" t="str">
        <f>+VLOOKUP($L472,Data_Validation!$A:$E,5,0)</f>
        <v>$</v>
      </c>
      <c r="X472" s="153">
        <f>+VLOOKUP($L472,Data_Validation!$A:$F,6,0)</f>
        <v>0</v>
      </c>
    </row>
    <row r="473" spans="1:24" ht="15.75" customHeight="1">
      <c r="A473" s="1430" t="s">
        <v>2070</v>
      </c>
      <c r="B473" s="1431">
        <v>9157</v>
      </c>
      <c r="C473" s="1433">
        <v>-122276.52</v>
      </c>
      <c r="D473" s="1433">
        <v>0</v>
      </c>
      <c r="E473" s="1433">
        <v>-122276.52</v>
      </c>
      <c r="F473" s="1430" t="s">
        <v>301</v>
      </c>
      <c r="G473" s="1430" t="s">
        <v>2072</v>
      </c>
      <c r="H473" s="1233"/>
      <c r="I473" s="1234"/>
      <c r="J473" s="1234"/>
      <c r="K473" s="1234"/>
      <c r="L473" s="150">
        <f t="shared" si="18"/>
        <v>9157</v>
      </c>
      <c r="M473" s="151" t="str">
        <f t="shared" si="19"/>
        <v>PRIMES DE RENDEMENT (ToT)- BONUS EXPERIENCE +</v>
      </c>
      <c r="N473" s="152">
        <f>+IF(OR($Q473=Parametres!$G$2,$Q473=Parametres!$G$3),I473,C473)</f>
        <v>-122276.52</v>
      </c>
      <c r="O473" s="152">
        <f>+IF(OR($Q473=Parametres!$G$2,$Q473=Parametres!$G$3),J473,D473)</f>
        <v>0</v>
      </c>
      <c r="P473" s="152">
        <f>+IF(OR($Q473=Parametres!$G$2,$Q473=Parametres!$G$3),K473,E473)</f>
        <v>-122276.52</v>
      </c>
      <c r="Q473" s="151" t="str">
        <f t="shared" si="33"/>
        <v>8-Autres revenus</v>
      </c>
      <c r="R473" s="150" t="str">
        <f t="shared" si="33"/>
        <v>915</v>
      </c>
      <c r="S473" s="151">
        <f t="shared" si="33"/>
        <v>0</v>
      </c>
      <c r="T473" s="153">
        <f>+VLOOKUP($L473,Data_Validation!$A:$D,1,0)</f>
        <v>9157</v>
      </c>
      <c r="U473" s="153" t="str">
        <f>+VLOOKUP($L473,Data_Validation!$A:$D,3,0)</f>
        <v>Véhicules neufs</v>
      </c>
      <c r="V473" s="153" t="str">
        <f>+VLOOKUP($L473,Data_Validation!$A:$D,4,0)</f>
        <v>Programme neuf 1</v>
      </c>
      <c r="W473" s="153" t="str">
        <f>+VLOOKUP($L473,Data_Validation!$A:$E,5,0)</f>
        <v>$</v>
      </c>
      <c r="X473" s="153">
        <f>+VLOOKUP($L473,Data_Validation!$A:$F,6,0)</f>
        <v>0</v>
      </c>
    </row>
    <row r="474" spans="1:24" ht="15" customHeight="1">
      <c r="A474" s="1430" t="s">
        <v>2163</v>
      </c>
      <c r="B474" s="1431">
        <v>9161</v>
      </c>
      <c r="C474" s="1433">
        <v>-8384.7900000000009</v>
      </c>
      <c r="D474" s="1433">
        <v>-5635.79</v>
      </c>
      <c r="E474" s="1433">
        <v>-14020.58</v>
      </c>
      <c r="F474" s="1430" t="s">
        <v>301</v>
      </c>
      <c r="G474" s="1430" t="s">
        <v>2069</v>
      </c>
      <c r="H474" s="1233"/>
      <c r="I474" s="1234"/>
      <c r="J474" s="1234"/>
      <c r="K474" s="1234"/>
      <c r="L474" s="150">
        <f t="shared" si="18"/>
        <v>9161</v>
      </c>
      <c r="M474" s="151" t="str">
        <f t="shared" si="19"/>
        <v>REVENU FIN ET ASS NEUF</v>
      </c>
      <c r="N474" s="152">
        <f>+IF(OR($Q474=Parametres!$G$2,$Q474=Parametres!$G$3),I474,C474)</f>
        <v>-8384.7900000000009</v>
      </c>
      <c r="O474" s="152">
        <f>+IF(OR($Q474=Parametres!$G$2,$Q474=Parametres!$G$3),J474,D474)</f>
        <v>-5635.79</v>
      </c>
      <c r="P474" s="152">
        <f>+IF(OR($Q474=Parametres!$G$2,$Q474=Parametres!$G$3),K474,E474)</f>
        <v>-14020.58</v>
      </c>
      <c r="Q474" s="151" t="str">
        <f t="shared" si="33"/>
        <v>8-Autres revenus</v>
      </c>
      <c r="R474" s="150" t="str">
        <f t="shared" si="33"/>
        <v>9161</v>
      </c>
      <c r="S474" s="151">
        <f t="shared" si="33"/>
        <v>0</v>
      </c>
      <c r="T474" s="153">
        <f>+VLOOKUP($L474,Data_Validation!$A:$D,1,0)</f>
        <v>9161</v>
      </c>
      <c r="U474" s="153" t="str">
        <f>+VLOOKUP($L474,Data_Validation!$A:$D,3,0)</f>
        <v>Véhicules neufs</v>
      </c>
      <c r="V474" s="153" t="str">
        <f>+VLOOKUP($L474,Data_Validation!$A:$D,4,0)</f>
        <v>Rev. Finances</v>
      </c>
      <c r="W474" s="153" t="str">
        <f>+VLOOKUP($L474,Data_Validation!$A:$E,5,0)</f>
        <v>$</v>
      </c>
      <c r="X474" s="153" t="str">
        <f>+VLOOKUP($L474,Data_Validation!$A:$F,6,0)</f>
        <v>Oui</v>
      </c>
    </row>
    <row r="475" spans="1:24" ht="15" customHeight="1">
      <c r="A475" s="1430" t="s">
        <v>2077</v>
      </c>
      <c r="B475" s="1431">
        <v>9163</v>
      </c>
      <c r="C475" s="1433">
        <v>-264831.03000000003</v>
      </c>
      <c r="D475" s="1433">
        <v>-39655.33</v>
      </c>
      <c r="E475" s="1433">
        <v>-304486.36</v>
      </c>
      <c r="F475" s="1430" t="s">
        <v>301</v>
      </c>
      <c r="G475" s="1430" t="s">
        <v>2078</v>
      </c>
      <c r="H475" s="1233"/>
      <c r="I475" s="1234"/>
      <c r="J475" s="1234"/>
      <c r="K475" s="1234"/>
      <c r="L475" s="150">
        <f t="shared" si="18"/>
        <v>9163</v>
      </c>
      <c r="M475" s="151" t="str">
        <f t="shared" si="19"/>
        <v>RESERVE FIN ET ASS VEH OCCASION</v>
      </c>
      <c r="N475" s="152">
        <f>+IF(OR($Q475=Parametres!$G$2,$Q475=Parametres!$G$3),I475,C475)</f>
        <v>-264831.03000000003</v>
      </c>
      <c r="O475" s="152">
        <f>+IF(OR($Q475=Parametres!$G$2,$Q475=Parametres!$G$3),J475,D475)</f>
        <v>-39655.33</v>
      </c>
      <c r="P475" s="152">
        <f>+IF(OR($Q475=Parametres!$G$2,$Q475=Parametres!$G$3),K475,E475)</f>
        <v>-304486.36</v>
      </c>
      <c r="Q475" s="151" t="str">
        <f t="shared" si="33"/>
        <v>8-Autres revenus</v>
      </c>
      <c r="R475" s="150" t="str">
        <f t="shared" si="33"/>
        <v>9163</v>
      </c>
      <c r="S475" s="151">
        <f t="shared" si="33"/>
        <v>0</v>
      </c>
      <c r="T475" s="153">
        <f>+VLOOKUP($L475,Data_Validation!$A:$D,1,0)</f>
        <v>9163</v>
      </c>
      <c r="U475" s="153" t="str">
        <f>+VLOOKUP($L475,Data_Validation!$A:$D,3,0)</f>
        <v>Véhicules usagés</v>
      </c>
      <c r="V475" s="153" t="str">
        <f>+VLOOKUP($L475,Data_Validation!$A:$D,4,0)</f>
        <v>Rev. Finances</v>
      </c>
      <c r="W475" s="153" t="str">
        <f>+VLOOKUP($L475,Data_Validation!$A:$E,5,0)</f>
        <v>$</v>
      </c>
      <c r="X475" s="153" t="str">
        <f>+VLOOKUP($L475,Data_Validation!$A:$F,6,0)</f>
        <v>Oui</v>
      </c>
    </row>
    <row r="476" spans="1:24" ht="15" customHeight="1">
      <c r="A476" s="1430" t="s">
        <v>2164</v>
      </c>
      <c r="B476" s="1431">
        <v>9165</v>
      </c>
      <c r="C476" s="1433">
        <v>-14141.98</v>
      </c>
      <c r="D476" s="1433">
        <v>-2053.0100000000002</v>
      </c>
      <c r="E476" s="1433">
        <v>-16194.99</v>
      </c>
      <c r="F476" s="1430" t="s">
        <v>301</v>
      </c>
      <c r="G476" s="1430" t="s">
        <v>2069</v>
      </c>
      <c r="H476" s="1233"/>
      <c r="I476" s="1234"/>
      <c r="J476" s="1234"/>
      <c r="K476" s="1234"/>
      <c r="L476" s="150">
        <f t="shared" si="18"/>
        <v>9165</v>
      </c>
      <c r="M476" s="151" t="str">
        <f t="shared" si="19"/>
        <v>REV. ASSURANCES NEUF</v>
      </c>
      <c r="N476" s="152">
        <f>+IF(OR($Q476=Parametres!$G$2,$Q476=Parametres!$G$3),I476,C476)</f>
        <v>-14141.98</v>
      </c>
      <c r="O476" s="152">
        <f>+IF(OR($Q476=Parametres!$G$2,$Q476=Parametres!$G$3),J476,D476)</f>
        <v>-2053.0100000000002</v>
      </c>
      <c r="P476" s="152">
        <f>+IF(OR($Q476=Parametres!$G$2,$Q476=Parametres!$G$3),K476,E476)</f>
        <v>-16194.99</v>
      </c>
      <c r="Q476" s="151" t="str">
        <f t="shared" si="33"/>
        <v>8-Autres revenus</v>
      </c>
      <c r="R476" s="150" t="str">
        <f t="shared" si="33"/>
        <v>9161</v>
      </c>
      <c r="S476" s="151">
        <f t="shared" si="33"/>
        <v>0</v>
      </c>
      <c r="T476" s="153">
        <f>+VLOOKUP($L476,Data_Validation!$A:$D,1,0)</f>
        <v>9165</v>
      </c>
      <c r="U476" s="153" t="str">
        <f>+VLOOKUP($L476,Data_Validation!$A:$D,3,0)</f>
        <v>Véhicules neufs</v>
      </c>
      <c r="V476" s="153" t="str">
        <f>+VLOOKUP($L476,Data_Validation!$A:$D,4,0)</f>
        <v>Rev. Autres</v>
      </c>
      <c r="W476" s="153" t="str">
        <f>+VLOOKUP($L476,Data_Validation!$A:$E,5,0)</f>
        <v>$</v>
      </c>
      <c r="X476" s="153" t="str">
        <f>+VLOOKUP($L476,Data_Validation!$A:$F,6,0)</f>
        <v>Oui</v>
      </c>
    </row>
    <row r="477" spans="1:24" ht="15.75" customHeight="1">
      <c r="A477" s="1430" t="s">
        <v>2172</v>
      </c>
      <c r="B477" s="1431">
        <v>9167</v>
      </c>
      <c r="C477" s="1433">
        <v>-18211.099999999999</v>
      </c>
      <c r="D477" s="1433">
        <v>-2186.46</v>
      </c>
      <c r="E477" s="1433">
        <v>-20397.560000000001</v>
      </c>
      <c r="F477" s="1430" t="s">
        <v>301</v>
      </c>
      <c r="G477" s="1430" t="s">
        <v>2078</v>
      </c>
      <c r="H477" s="1233"/>
      <c r="I477" s="1234"/>
      <c r="J477" s="1234"/>
      <c r="K477" s="1234"/>
      <c r="L477" s="150">
        <f t="shared" si="18"/>
        <v>9167</v>
      </c>
      <c r="M477" s="151" t="str">
        <f t="shared" si="19"/>
        <v>REV ASSURANCE USAGE</v>
      </c>
      <c r="N477" s="152">
        <f>+IF(OR($Q477=Parametres!$G$2,$Q477=Parametres!$G$3),I477,C477)</f>
        <v>-18211.099999999999</v>
      </c>
      <c r="O477" s="152">
        <f>+IF(OR($Q477=Parametres!$G$2,$Q477=Parametres!$G$3),J477,D477)</f>
        <v>-2186.46</v>
      </c>
      <c r="P477" s="152">
        <f>+IF(OR($Q477=Parametres!$G$2,$Q477=Parametres!$G$3),K477,E477)</f>
        <v>-20397.560000000001</v>
      </c>
      <c r="Q477" s="151" t="str">
        <f t="shared" si="33"/>
        <v>8-Autres revenus</v>
      </c>
      <c r="R477" s="150" t="str">
        <f t="shared" si="33"/>
        <v>9163</v>
      </c>
      <c r="S477" s="151">
        <f t="shared" si="33"/>
        <v>0</v>
      </c>
      <c r="T477" s="153">
        <f>+VLOOKUP($L477,Data_Validation!$A:$D,1,0)</f>
        <v>9167</v>
      </c>
      <c r="U477" s="153" t="str">
        <f>+VLOOKUP($L477,Data_Validation!$A:$D,3,0)</f>
        <v>Véhicules usagés</v>
      </c>
      <c r="V477" s="153" t="str">
        <f>+VLOOKUP($L477,Data_Validation!$A:$D,4,0)</f>
        <v>Rev. Autres</v>
      </c>
      <c r="W477" s="153" t="str">
        <f>+VLOOKUP($L477,Data_Validation!$A:$E,5,0)</f>
        <v>$</v>
      </c>
      <c r="X477" s="153" t="str">
        <f>+VLOOKUP($L477,Data_Validation!$A:$F,6,0)</f>
        <v>Oui</v>
      </c>
    </row>
    <row r="478" spans="1:24" ht="15" customHeight="1">
      <c r="A478" s="1430" t="s">
        <v>2085</v>
      </c>
      <c r="B478" s="1431">
        <v>9169</v>
      </c>
      <c r="C478" s="1433">
        <v>-114541</v>
      </c>
      <c r="D478" s="1433">
        <v>-7652</v>
      </c>
      <c r="E478" s="1433">
        <v>-122193</v>
      </c>
      <c r="F478" s="1430" t="s">
        <v>301</v>
      </c>
      <c r="G478" s="1430" t="s">
        <v>2069</v>
      </c>
      <c r="H478" s="1233"/>
      <c r="I478" s="1234"/>
      <c r="J478" s="1234"/>
      <c r="K478" s="1234"/>
      <c r="L478" s="150">
        <f t="shared" si="18"/>
        <v>9169</v>
      </c>
      <c r="M478" s="151" t="str">
        <f t="shared" si="19"/>
        <v>REV GARANTIE PROLONGEE NEUF</v>
      </c>
      <c r="N478" s="152">
        <f>+IF(OR($Q478=Parametres!$G$2,$Q478=Parametres!$G$3),I478,C478)</f>
        <v>-114541</v>
      </c>
      <c r="O478" s="152">
        <f>+IF(OR($Q478=Parametres!$G$2,$Q478=Parametres!$G$3),J478,D478)</f>
        <v>-7652</v>
      </c>
      <c r="P478" s="152">
        <f>+IF(OR($Q478=Parametres!$G$2,$Q478=Parametres!$G$3),K478,E478)</f>
        <v>-122193</v>
      </c>
      <c r="Q478" s="151" t="str">
        <f t="shared" si="33"/>
        <v>8-Autres revenus</v>
      </c>
      <c r="R478" s="150" t="str">
        <f t="shared" si="33"/>
        <v>9161</v>
      </c>
      <c r="S478" s="151">
        <f t="shared" si="33"/>
        <v>0</v>
      </c>
      <c r="T478" s="153">
        <f>+VLOOKUP($L478,Data_Validation!$A:$D,1,0)</f>
        <v>9169</v>
      </c>
      <c r="U478" s="153" t="str">
        <f>+VLOOKUP($L478,Data_Validation!$A:$D,3,0)</f>
        <v>Véhicules neufs</v>
      </c>
      <c r="V478" s="153" t="str">
        <f>+VLOOKUP($L478,Data_Validation!$A:$D,4,0)</f>
        <v>Rev. Protections</v>
      </c>
      <c r="W478" s="153" t="str">
        <f>+VLOOKUP($L478,Data_Validation!$A:$E,5,0)</f>
        <v>$</v>
      </c>
      <c r="X478" s="153" t="str">
        <f>+VLOOKUP($L478,Data_Validation!$A:$F,6,0)</f>
        <v>Oui</v>
      </c>
    </row>
    <row r="479" spans="1:24" ht="15" customHeight="1">
      <c r="A479" s="1430" t="s">
        <v>2067</v>
      </c>
      <c r="B479" s="1431">
        <v>9170</v>
      </c>
      <c r="C479" s="1433">
        <v>-417060.97</v>
      </c>
      <c r="D479" s="1433">
        <v>-53700.55</v>
      </c>
      <c r="E479" s="1433">
        <v>-470761.52</v>
      </c>
      <c r="F479" s="1430" t="s">
        <v>301</v>
      </c>
      <c r="G479" s="1430" t="s">
        <v>2069</v>
      </c>
      <c r="H479" s="1233"/>
      <c r="I479" s="1234"/>
      <c r="J479" s="1234"/>
      <c r="K479" s="1234"/>
      <c r="L479" s="150">
        <f t="shared" si="18"/>
        <v>9170</v>
      </c>
      <c r="M479" s="151" t="str">
        <f t="shared" si="19"/>
        <v>PROFIT PROTECTIONS - NEUFS</v>
      </c>
      <c r="N479" s="152">
        <f>+IF(OR($Q479=Parametres!$G$2,$Q479=Parametres!$G$3),I479,C479)</f>
        <v>-417060.97</v>
      </c>
      <c r="O479" s="152">
        <f>+IF(OR($Q479=Parametres!$G$2,$Q479=Parametres!$G$3),J479,D479)</f>
        <v>-53700.55</v>
      </c>
      <c r="P479" s="152">
        <f>+IF(OR($Q479=Parametres!$G$2,$Q479=Parametres!$G$3),K479,E479)</f>
        <v>-470761.52</v>
      </c>
      <c r="Q479" s="151" t="str">
        <f t="shared" si="33"/>
        <v>8-Autres revenus</v>
      </c>
      <c r="R479" s="150" t="str">
        <f t="shared" si="33"/>
        <v>9161</v>
      </c>
      <c r="S479" s="151">
        <f t="shared" si="33"/>
        <v>0</v>
      </c>
      <c r="T479" s="153">
        <f>+VLOOKUP($L479,Data_Validation!$A:$D,1,0)</f>
        <v>9170</v>
      </c>
      <c r="U479" s="153" t="str">
        <f>+VLOOKUP($L479,Data_Validation!$A:$D,3,0)</f>
        <v>Véhicules neufs</v>
      </c>
      <c r="V479" s="153" t="str">
        <f>+VLOOKUP($L479,Data_Validation!$A:$D,4,0)</f>
        <v>Rev. Protections</v>
      </c>
      <c r="W479" s="153" t="str">
        <f>+VLOOKUP($L479,Data_Validation!$A:$E,5,0)</f>
        <v>$</v>
      </c>
      <c r="X479" s="153" t="str">
        <f>+VLOOKUP($L479,Data_Validation!$A:$F,6,0)</f>
        <v>Oui</v>
      </c>
    </row>
    <row r="480" spans="1:24" ht="15" customHeight="1">
      <c r="A480" s="1430" t="s">
        <v>2081</v>
      </c>
      <c r="B480" s="1431">
        <v>9171</v>
      </c>
      <c r="C480" s="1433">
        <v>-285023.90000000002</v>
      </c>
      <c r="D480" s="1433">
        <v>-27898</v>
      </c>
      <c r="E480" s="1433">
        <v>-312921.90000000002</v>
      </c>
      <c r="F480" s="1430" t="s">
        <v>301</v>
      </c>
      <c r="G480" s="1430" t="s">
        <v>2078</v>
      </c>
      <c r="H480" s="1233"/>
      <c r="I480" s="1234"/>
      <c r="J480" s="1234"/>
      <c r="K480" s="1234"/>
      <c r="L480" s="150">
        <f t="shared" si="18"/>
        <v>9171</v>
      </c>
      <c r="M480" s="151" t="str">
        <f t="shared" si="19"/>
        <v>REV GARANTIE PROLONGEE USAGE</v>
      </c>
      <c r="N480" s="152">
        <f>+IF(OR($Q480=Parametres!$G$2,$Q480=Parametres!$G$3),I480,C480)</f>
        <v>-285023.90000000002</v>
      </c>
      <c r="O480" s="152">
        <f>+IF(OR($Q480=Parametres!$G$2,$Q480=Parametres!$G$3),J480,D480)</f>
        <v>-27898</v>
      </c>
      <c r="P480" s="152">
        <f>+IF(OR($Q480=Parametres!$G$2,$Q480=Parametres!$G$3),K480,E480)</f>
        <v>-312921.90000000002</v>
      </c>
      <c r="Q480" s="151" t="str">
        <f t="shared" si="33"/>
        <v>8-Autres revenus</v>
      </c>
      <c r="R480" s="150" t="str">
        <f t="shared" si="33"/>
        <v>9163</v>
      </c>
      <c r="S480" s="151">
        <f t="shared" si="33"/>
        <v>0</v>
      </c>
      <c r="T480" s="153">
        <f>+VLOOKUP($L480,Data_Validation!$A:$D,1,0)</f>
        <v>9171</v>
      </c>
      <c r="U480" s="153" t="str">
        <f>+VLOOKUP($L480,Data_Validation!$A:$D,3,0)</f>
        <v>Véhicules usagés</v>
      </c>
      <c r="V480" s="153" t="str">
        <f>+VLOOKUP($L480,Data_Validation!$A:$D,4,0)</f>
        <v>Rev. Protections</v>
      </c>
      <c r="W480" s="153" t="str">
        <f>+VLOOKUP($L480,Data_Validation!$A:$E,5,0)</f>
        <v>$</v>
      </c>
      <c r="X480" s="153" t="str">
        <f>+VLOOKUP($L480,Data_Validation!$A:$F,6,0)</f>
        <v>Oui</v>
      </c>
    </row>
    <row r="481" spans="1:24" ht="15" customHeight="1">
      <c r="A481" s="1430" t="s">
        <v>2089</v>
      </c>
      <c r="B481" s="1431">
        <v>9172</v>
      </c>
      <c r="C481" s="1433">
        <v>-140744.10999999999</v>
      </c>
      <c r="D481" s="1433">
        <v>-19102.38</v>
      </c>
      <c r="E481" s="1433">
        <v>-159846.49</v>
      </c>
      <c r="F481" s="1430" t="s">
        <v>301</v>
      </c>
      <c r="G481" s="1430" t="s">
        <v>2078</v>
      </c>
      <c r="H481" s="1233"/>
      <c r="I481" s="1234"/>
      <c r="J481" s="1234"/>
      <c r="K481" s="1234"/>
      <c r="L481" s="150">
        <f t="shared" si="18"/>
        <v>9172</v>
      </c>
      <c r="M481" s="151" t="str">
        <f t="shared" si="19"/>
        <v>PROFIT PROTECTIONS - USAGES</v>
      </c>
      <c r="N481" s="152">
        <f>+IF(OR($Q481=Parametres!$G$2,$Q481=Parametres!$G$3),I481,C481)</f>
        <v>-140744.10999999999</v>
      </c>
      <c r="O481" s="152">
        <f>+IF(OR($Q481=Parametres!$G$2,$Q481=Parametres!$G$3),J481,D481)</f>
        <v>-19102.38</v>
      </c>
      <c r="P481" s="152">
        <f>+IF(OR($Q481=Parametres!$G$2,$Q481=Parametres!$G$3),K481,E481)</f>
        <v>-159846.49</v>
      </c>
      <c r="Q481" s="151" t="str">
        <f t="shared" si="33"/>
        <v>8-Autres revenus</v>
      </c>
      <c r="R481" s="150" t="str">
        <f t="shared" si="33"/>
        <v>9163</v>
      </c>
      <c r="S481" s="151">
        <f t="shared" si="33"/>
        <v>0</v>
      </c>
      <c r="T481" s="153">
        <f>+VLOOKUP($L481,Data_Validation!$A:$D,1,0)</f>
        <v>9172</v>
      </c>
      <c r="U481" s="153" t="str">
        <f>+VLOOKUP($L481,Data_Validation!$A:$D,3,0)</f>
        <v>Véhicules usagés</v>
      </c>
      <c r="V481" s="153" t="str">
        <f>+VLOOKUP($L481,Data_Validation!$A:$D,4,0)</f>
        <v>Rev. Protections</v>
      </c>
      <c r="W481" s="153" t="str">
        <f>+VLOOKUP($L481,Data_Validation!$A:$E,5,0)</f>
        <v>$</v>
      </c>
      <c r="X481" s="153" t="str">
        <f>+VLOOKUP($L481,Data_Validation!$A:$F,6,0)</f>
        <v>Oui</v>
      </c>
    </row>
    <row r="482" spans="1:24" ht="15.75" customHeight="1">
      <c r="A482" s="1430" t="s">
        <v>2073</v>
      </c>
      <c r="B482" s="1431">
        <v>9173</v>
      </c>
      <c r="C482" s="1433">
        <v>-323697.88</v>
      </c>
      <c r="D482" s="1433">
        <v>-36166</v>
      </c>
      <c r="E482" s="1433">
        <v>-359863.88</v>
      </c>
      <c r="F482" s="1430" t="s">
        <v>301</v>
      </c>
      <c r="G482" s="1430" t="s">
        <v>2056</v>
      </c>
      <c r="H482" s="1233"/>
      <c r="I482" s="1234"/>
      <c r="J482" s="1234"/>
      <c r="K482" s="1234"/>
      <c r="L482" s="150">
        <f t="shared" si="18"/>
        <v>9173</v>
      </c>
      <c r="M482" s="151" t="str">
        <f t="shared" si="19"/>
        <v>FRAIS ADMIN. VOLKS</v>
      </c>
      <c r="N482" s="152">
        <f>+IF(OR($Q482=Parametres!$G$2,$Q482=Parametres!$G$3),I482,C482)</f>
        <v>-323697.88</v>
      </c>
      <c r="O482" s="152">
        <f>+IF(OR($Q482=Parametres!$G$2,$Q482=Parametres!$G$3),J482,D482)</f>
        <v>-36166</v>
      </c>
      <c r="P482" s="152">
        <f>+IF(OR($Q482=Parametres!$G$2,$Q482=Parametres!$G$3),K482,E482)</f>
        <v>-359863.88</v>
      </c>
      <c r="Q482" s="151" t="str">
        <f t="shared" ref="Q482:S497" si="34">+F482</f>
        <v>8-Autres revenus</v>
      </c>
      <c r="R482" s="150" t="str">
        <f t="shared" si="34"/>
        <v>9191</v>
      </c>
      <c r="S482" s="151">
        <f t="shared" si="34"/>
        <v>0</v>
      </c>
      <c r="T482" s="153">
        <f>+VLOOKUP($L482,Data_Validation!$A:$D,1,0)</f>
        <v>9173</v>
      </c>
      <c r="U482" s="153" t="str">
        <f>+VLOOKUP($L482,Data_Validation!$A:$D,3,0)</f>
        <v>Véhicules neufs</v>
      </c>
      <c r="V482" s="153" t="str">
        <f>+VLOOKUP($L482,Data_Validation!$A:$D,4,0)</f>
        <v>Frais administration</v>
      </c>
      <c r="W482" s="153" t="str">
        <f>+VLOOKUP($L482,Data_Validation!$A:$E,5,0)</f>
        <v>$</v>
      </c>
      <c r="X482" s="153">
        <f>+VLOOKUP($L482,Data_Validation!$A:$F,6,0)</f>
        <v>0</v>
      </c>
    </row>
    <row r="483" spans="1:24" ht="15" customHeight="1">
      <c r="A483" s="1430" t="s">
        <v>2055</v>
      </c>
      <c r="B483" s="1431">
        <v>9191</v>
      </c>
      <c r="C483" s="1433">
        <v>-186080.71</v>
      </c>
      <c r="D483" s="1433">
        <v>-31096.09</v>
      </c>
      <c r="E483" s="1433">
        <v>-217176.8</v>
      </c>
      <c r="F483" s="1430" t="s">
        <v>301</v>
      </c>
      <c r="G483" s="1430" t="s">
        <v>2056</v>
      </c>
      <c r="H483" s="1233"/>
      <c r="I483" s="1234"/>
      <c r="J483" s="1234"/>
      <c r="K483" s="1234"/>
      <c r="L483" s="150">
        <f t="shared" si="18"/>
        <v>9191</v>
      </c>
      <c r="M483" s="151" t="str">
        <f t="shared" si="19"/>
        <v>REVENUS DIVERS</v>
      </c>
      <c r="N483" s="152">
        <f>+IF(OR($Q483=Parametres!$G$2,$Q483=Parametres!$G$3),I483,C483)</f>
        <v>-186080.71</v>
      </c>
      <c r="O483" s="152">
        <f>+IF(OR($Q483=Parametres!$G$2,$Q483=Parametres!$G$3),J483,D483)</f>
        <v>-31096.09</v>
      </c>
      <c r="P483" s="152">
        <f>+IF(OR($Q483=Parametres!$G$2,$Q483=Parametres!$G$3),K483,E483)</f>
        <v>-217176.8</v>
      </c>
      <c r="Q483" s="151" t="str">
        <f t="shared" si="34"/>
        <v>8-Autres revenus</v>
      </c>
      <c r="R483" s="150" t="str">
        <f t="shared" si="34"/>
        <v>9191</v>
      </c>
      <c r="S483" s="151">
        <f t="shared" si="34"/>
        <v>0</v>
      </c>
      <c r="T483" s="153">
        <f>+VLOOKUP($L483,Data_Validation!$A:$D,1,0)</f>
        <v>9191</v>
      </c>
      <c r="U483" s="153" t="str">
        <f>+VLOOKUP($L483,Data_Validation!$A:$D,3,0)</f>
        <v>TOTAL  DES  REVENUS  ET  DÉPENSES</v>
      </c>
      <c r="V483" s="153" t="str">
        <f>+VLOOKUP($L483,Data_Validation!$A:$D,4,0)</f>
        <v>Revenus autres</v>
      </c>
      <c r="W483" s="153" t="str">
        <f>+VLOOKUP($L483,Data_Validation!$A:$E,5,0)</f>
        <v>$</v>
      </c>
      <c r="X483" s="153">
        <f>+VLOOKUP($L483,Data_Validation!$A:$F,6,0)</f>
        <v>0</v>
      </c>
    </row>
    <row r="484" spans="1:24" ht="15" customHeight="1">
      <c r="A484" s="1430" t="s">
        <v>2641</v>
      </c>
      <c r="B484" s="1431">
        <v>9402</v>
      </c>
      <c r="C484" s="1433">
        <v>3983.4</v>
      </c>
      <c r="D484" s="1433">
        <v>398.34</v>
      </c>
      <c r="E484" s="1433">
        <v>4381.74</v>
      </c>
      <c r="F484" s="1430" t="s">
        <v>1232</v>
      </c>
      <c r="G484" s="1430" t="s">
        <v>2169</v>
      </c>
      <c r="H484" s="1233"/>
      <c r="I484" s="1234"/>
      <c r="J484" s="1234"/>
      <c r="K484" s="1234"/>
      <c r="L484" s="150">
        <f t="shared" si="18"/>
        <v>9402</v>
      </c>
      <c r="M484" s="151" t="str">
        <f t="shared" si="19"/>
        <v>DEPENSE D'INTERETS</v>
      </c>
      <c r="N484" s="152">
        <f>+IF(OR($Q484=Parametres!$G$2,$Q484=Parametres!$G$3),I484,C484)</f>
        <v>3983.4</v>
      </c>
      <c r="O484" s="152">
        <f>+IF(OR($Q484=Parametres!$G$2,$Q484=Parametres!$G$3),J484,D484)</f>
        <v>398.34</v>
      </c>
      <c r="P484" s="152">
        <f>+IF(OR($Q484=Parametres!$G$2,$Q484=Parametres!$G$3),K484,E484)</f>
        <v>4381.74</v>
      </c>
      <c r="Q484" s="151" t="str">
        <f t="shared" si="34"/>
        <v>9-Autres déductions</v>
      </c>
      <c r="R484" s="150" t="str">
        <f t="shared" si="34"/>
        <v>9402</v>
      </c>
      <c r="S484" s="151">
        <f t="shared" si="34"/>
        <v>0</v>
      </c>
      <c r="T484" s="153">
        <f>+VLOOKUP($L484,Data_Validation!$A:$D,1,0)</f>
        <v>9402</v>
      </c>
      <c r="U484" s="153" t="str">
        <f>+VLOOKUP($L484,Data_Validation!$A:$D,3,0)</f>
        <v>TOTAL  DES  REVENUS  ET  DÉPENSES</v>
      </c>
      <c r="V484" s="153" t="str">
        <f>+VLOOKUP($L484,Data_Validation!$A:$D,4,0)</f>
        <v>Intérêts sur prêt</v>
      </c>
      <c r="W484" s="153" t="str">
        <f>+VLOOKUP($L484,Data_Validation!$A:$E,5,0)</f>
        <v>$</v>
      </c>
      <c r="X484" s="153">
        <f>+VLOOKUP($L484,Data_Validation!$A:$F,6,0)</f>
        <v>0</v>
      </c>
    </row>
    <row r="485" spans="1:24" ht="15" customHeight="1">
      <c r="A485" s="1430" t="s">
        <v>2167</v>
      </c>
      <c r="B485" s="1431">
        <v>9403</v>
      </c>
      <c r="C485" s="1433">
        <v>-4458.1099999999997</v>
      </c>
      <c r="D485" s="1433">
        <v>0</v>
      </c>
      <c r="E485" s="1433">
        <v>-4458.1099999999997</v>
      </c>
      <c r="F485" s="1430" t="s">
        <v>1232</v>
      </c>
      <c r="G485" s="1430" t="s">
        <v>2169</v>
      </c>
      <c r="H485" s="1233"/>
      <c r="I485" s="1234"/>
      <c r="J485" s="1234"/>
      <c r="K485" s="1234"/>
      <c r="L485" s="150">
        <f t="shared" si="18"/>
        <v>9403</v>
      </c>
      <c r="M485" s="151" t="str">
        <f t="shared" si="19"/>
        <v>INTERETS SUR MARGE CREDIT</v>
      </c>
      <c r="N485" s="152">
        <f>+IF(OR($Q485=Parametres!$G$2,$Q485=Parametres!$G$3),I485,C485)</f>
        <v>-4458.1099999999997</v>
      </c>
      <c r="O485" s="152">
        <f>+IF(OR($Q485=Parametres!$G$2,$Q485=Parametres!$G$3),J485,D485)</f>
        <v>0</v>
      </c>
      <c r="P485" s="152">
        <f>+IF(OR($Q485=Parametres!$G$2,$Q485=Parametres!$G$3),K485,E485)</f>
        <v>-4458.1099999999997</v>
      </c>
      <c r="Q485" s="151" t="str">
        <f t="shared" si="34"/>
        <v>9-Autres déductions</v>
      </c>
      <c r="R485" s="150" t="str">
        <f t="shared" si="34"/>
        <v>9402</v>
      </c>
      <c r="S485" s="151">
        <f t="shared" si="34"/>
        <v>0</v>
      </c>
      <c r="T485" s="153">
        <f>+VLOOKUP($L485,Data_Validation!$A:$D,1,0)</f>
        <v>9403</v>
      </c>
      <c r="U485" s="153" t="str">
        <f>+VLOOKUP($L485,Data_Validation!$A:$D,3,0)</f>
        <v>TOTAL  DES  REVENUS  ET  DÉPENSES</v>
      </c>
      <c r="V485" s="153" t="str">
        <f>+VLOOKUP($L485,Data_Validation!$A:$D,4,0)</f>
        <v>Intérêts sur marge</v>
      </c>
      <c r="W485" s="153" t="str">
        <f>+VLOOKUP($L485,Data_Validation!$A:$E,5,0)</f>
        <v>$</v>
      </c>
      <c r="X485" s="153">
        <f>+VLOOKUP($L485,Data_Validation!$A:$F,6,0)</f>
        <v>0</v>
      </c>
    </row>
    <row r="486" spans="1:24" ht="15.75" customHeight="1">
      <c r="A486" s="1430" t="s">
        <v>1386</v>
      </c>
      <c r="B486" s="1431">
        <v>9404</v>
      </c>
      <c r="C486" s="1433">
        <v>1722.5</v>
      </c>
      <c r="D486" s="1433">
        <v>172.25</v>
      </c>
      <c r="E486" s="1433">
        <v>1894.75</v>
      </c>
      <c r="F486" s="1430" t="s">
        <v>1232</v>
      </c>
      <c r="G486" s="1430" t="s">
        <v>2169</v>
      </c>
      <c r="H486" s="1233"/>
      <c r="I486" s="1234"/>
      <c r="J486" s="1234"/>
      <c r="K486" s="1234"/>
      <c r="L486" s="150">
        <f t="shared" si="18"/>
        <v>9404</v>
      </c>
      <c r="M486" s="151" t="str">
        <f t="shared" si="19"/>
        <v>INTERETS SUR PRET</v>
      </c>
      <c r="N486" s="152">
        <f>+IF(OR($Q486=Parametres!$G$2,$Q486=Parametres!$G$3),I486,C486)</f>
        <v>1722.5</v>
      </c>
      <c r="O486" s="152">
        <f>+IF(OR($Q486=Parametres!$G$2,$Q486=Parametres!$G$3),J486,D486)</f>
        <v>172.25</v>
      </c>
      <c r="P486" s="152">
        <f>+IF(OR($Q486=Parametres!$G$2,$Q486=Parametres!$G$3),K486,E486)</f>
        <v>1894.75</v>
      </c>
      <c r="Q486" s="151" t="str">
        <f t="shared" si="34"/>
        <v>9-Autres déductions</v>
      </c>
      <c r="R486" s="150" t="str">
        <f t="shared" si="34"/>
        <v>9402</v>
      </c>
      <c r="S486" s="151">
        <f t="shared" si="34"/>
        <v>0</v>
      </c>
      <c r="T486" s="153">
        <f>+VLOOKUP($L486,Data_Validation!$A:$D,1,0)</f>
        <v>9404</v>
      </c>
      <c r="U486" s="153" t="str">
        <f>+VLOOKUP($L486,Data_Validation!$A:$D,3,0)</f>
        <v>TOTAL  DES  REVENUS  ET  DÉPENSES</v>
      </c>
      <c r="V486" s="153" t="str">
        <f>+VLOOKUP($L486,Data_Validation!$A:$D,4,0)</f>
        <v>Intérêts sur prêt</v>
      </c>
      <c r="W486" s="153" t="str">
        <f>+VLOOKUP($L486,Data_Validation!$A:$E,5,0)</f>
        <v>$</v>
      </c>
      <c r="X486" s="153">
        <f>+VLOOKUP($L486,Data_Validation!$A:$F,6,0)</f>
        <v>0</v>
      </c>
    </row>
    <row r="487" spans="1:24" ht="15" customHeight="1">
      <c r="A487" s="1430" t="s">
        <v>1382</v>
      </c>
      <c r="B487" s="1431">
        <v>9406</v>
      </c>
      <c r="C487" s="1433">
        <v>66966.789999999994</v>
      </c>
      <c r="D487" s="1433">
        <v>11433.93</v>
      </c>
      <c r="E487" s="1433">
        <v>78400.72</v>
      </c>
      <c r="F487" s="1430" t="s">
        <v>1232</v>
      </c>
      <c r="G487" s="1430" t="s">
        <v>2169</v>
      </c>
      <c r="H487" s="1233"/>
      <c r="I487" s="1234"/>
      <c r="J487" s="1234"/>
      <c r="K487" s="1234"/>
      <c r="L487" s="150">
        <f t="shared" si="18"/>
        <v>9406</v>
      </c>
      <c r="M487" s="151" t="str">
        <f t="shared" si="19"/>
        <v>FRAIS BANCAIRES</v>
      </c>
      <c r="N487" s="152">
        <f>+IF(OR($Q487=Parametres!$G$2,$Q487=Parametres!$G$3),I487,C487)</f>
        <v>66966.789999999994</v>
      </c>
      <c r="O487" s="152">
        <f>+IF(OR($Q487=Parametres!$G$2,$Q487=Parametres!$G$3),J487,D487)</f>
        <v>11433.93</v>
      </c>
      <c r="P487" s="152">
        <f>+IF(OR($Q487=Parametres!$G$2,$Q487=Parametres!$G$3),K487,E487)</f>
        <v>78400.72</v>
      </c>
      <c r="Q487" s="151" t="str">
        <f t="shared" si="34"/>
        <v>9-Autres déductions</v>
      </c>
      <c r="R487" s="150" t="str">
        <f t="shared" si="34"/>
        <v>9402</v>
      </c>
      <c r="S487" s="151">
        <f t="shared" si="34"/>
        <v>0</v>
      </c>
      <c r="T487" s="153">
        <f>+VLOOKUP($L487,Data_Validation!$A:$D,1,0)</f>
        <v>9406</v>
      </c>
      <c r="U487" s="153" t="str">
        <f>+VLOOKUP($L487,Data_Validation!$A:$D,3,0)</f>
        <v>Véhicules neufs</v>
      </c>
      <c r="V487" s="153" t="str">
        <f>+VLOOKUP($L487,Data_Validation!$A:$D,4,0)</f>
        <v>Frais bancaires</v>
      </c>
      <c r="W487" s="153" t="str">
        <f>+VLOOKUP($L487,Data_Validation!$A:$E,5,0)</f>
        <v>$</v>
      </c>
      <c r="X487" s="153">
        <f>+VLOOKUP($L487,Data_Validation!$A:$F,6,0)</f>
        <v>0</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2022-06-29T14:12:23Z</dcterms:modified>
</cp:coreProperties>
</file>